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20" windowWidth="14235" windowHeight="5130" tabRatio="788" firstSheet="2" activeTab="14"/>
  </bookViews>
  <sheets>
    <sheet name="Character" sheetId="1" r:id="rId1"/>
    <sheet name="Stats" sheetId="4" r:id="rId2"/>
    <sheet name="Skills" sheetId="12" r:id="rId3"/>
    <sheet name="Magic" sheetId="15" r:id="rId4"/>
    <sheet name="Spells" sheetId="16" r:id="rId5"/>
    <sheet name="Inventory" sheetId="2" r:id="rId6"/>
    <sheet name="Equip" sheetId="5" r:id="rId7"/>
    <sheet name="Combat" sheetId="3" r:id="rId8"/>
    <sheet name="Other" sheetId="14" r:id="rId9"/>
    <sheet name="Weapons" sheetId="8" r:id="rId10"/>
    <sheet name="Armors" sheetId="9" r:id="rId11"/>
    <sheet name="Shields" sheetId="10" r:id="rId12"/>
    <sheet name="Ammo" sheetId="11" r:id="rId13"/>
    <sheet name="Perks &amp; Skills" sheetId="18" r:id="rId14"/>
    <sheet name="Additional" sheetId="17" r:id="rId15"/>
  </sheets>
  <calcPr calcId="124519"/>
</workbook>
</file>

<file path=xl/calcChain.xml><?xml version="1.0" encoding="utf-8"?>
<calcChain xmlns="http://schemas.openxmlformats.org/spreadsheetml/2006/main">
  <c r="A53" i="4"/>
  <c r="A52"/>
  <c r="A51"/>
  <c r="A50"/>
  <c r="A49"/>
  <c r="A48"/>
  <c r="A47"/>
  <c r="A46"/>
  <c r="A45"/>
  <c r="A44"/>
  <c r="D5" i="3"/>
  <c r="D4"/>
  <c r="AA4" i="5"/>
  <c r="D10"/>
  <c r="AC3" i="3"/>
  <c r="D6" i="5"/>
  <c r="F16" i="15" l="1"/>
  <c r="F14"/>
  <c r="F15"/>
  <c r="F17"/>
  <c r="F18"/>
  <c r="F19"/>
  <c r="F13"/>
  <c r="E18"/>
  <c r="E14"/>
  <c r="E13"/>
  <c r="E15"/>
  <c r="E16"/>
  <c r="E17"/>
  <c r="E19"/>
  <c r="C5" i="12" l="1"/>
  <c r="F5" s="1"/>
  <c r="C6"/>
  <c r="D9" i="16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8"/>
  <c r="D7"/>
  <c r="D6"/>
  <c r="D5"/>
  <c r="D4"/>
  <c r="C19" i="15" l="1"/>
  <c r="C18"/>
  <c r="C17"/>
  <c r="C16"/>
  <c r="C15"/>
  <c r="C14"/>
  <c r="Q20" i="4" l="1"/>
  <c r="C19" i="14"/>
  <c r="H19" s="1"/>
  <c r="C18"/>
  <c r="H18" s="1"/>
  <c r="C17"/>
  <c r="H17" s="1"/>
  <c r="C16"/>
  <c r="H16" s="1"/>
  <c r="C15"/>
  <c r="H15" s="1"/>
  <c r="C14"/>
  <c r="H14" s="1"/>
  <c r="Q13" i="9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K5" i="4"/>
  <c r="D19" i="14" l="1"/>
  <c r="D18"/>
  <c r="D17"/>
  <c r="D16"/>
  <c r="D15"/>
  <c r="F17" l="1"/>
  <c r="F18"/>
  <c r="F16"/>
  <c r="F19"/>
  <c r="F14"/>
  <c r="L35" i="2"/>
  <c r="K35"/>
  <c r="H8" i="1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7"/>
  <c r="H6"/>
  <c r="AD2" i="4"/>
  <c r="H5" i="12"/>
  <c r="G25" i="4"/>
  <c r="D6" i="12"/>
  <c r="C7"/>
  <c r="F7" s="1"/>
  <c r="D7"/>
  <c r="C8"/>
  <c r="F8" s="1"/>
  <c r="D8"/>
  <c r="C9"/>
  <c r="F9" s="1"/>
  <c r="D9"/>
  <c r="D10"/>
  <c r="C11"/>
  <c r="F11" s="1"/>
  <c r="D11"/>
  <c r="C12"/>
  <c r="F12" s="1"/>
  <c r="D12"/>
  <c r="C13"/>
  <c r="F13" s="1"/>
  <c r="D13"/>
  <c r="C14"/>
  <c r="F14" s="1"/>
  <c r="D14"/>
  <c r="C15"/>
  <c r="F15" s="1"/>
  <c r="D15"/>
  <c r="C16"/>
  <c r="F16" s="1"/>
  <c r="D16"/>
  <c r="C17"/>
  <c r="F17" s="1"/>
  <c r="D17"/>
  <c r="C18"/>
  <c r="F18" s="1"/>
  <c r="D18"/>
  <c r="C19"/>
  <c r="F19" s="1"/>
  <c r="D19"/>
  <c r="C20"/>
  <c r="F20" s="1"/>
  <c r="D20"/>
  <c r="C21"/>
  <c r="F21" s="1"/>
  <c r="D21"/>
  <c r="C22"/>
  <c r="F22" s="1"/>
  <c r="D22"/>
  <c r="C23"/>
  <c r="F23" s="1"/>
  <c r="D23"/>
  <c r="C24"/>
  <c r="F24" s="1"/>
  <c r="D24"/>
  <c r="C25"/>
  <c r="F25" s="1"/>
  <c r="D25"/>
  <c r="C26"/>
  <c r="F26" s="1"/>
  <c r="D26"/>
  <c r="C27"/>
  <c r="F27" s="1"/>
  <c r="D27"/>
  <c r="C28"/>
  <c r="F28" s="1"/>
  <c r="D28"/>
  <c r="C29"/>
  <c r="F29" s="1"/>
  <c r="D29"/>
  <c r="C30"/>
  <c r="F30" s="1"/>
  <c r="D30"/>
  <c r="C31"/>
  <c r="F31" s="1"/>
  <c r="D31"/>
  <c r="C32"/>
  <c r="F32" s="1"/>
  <c r="D32"/>
  <c r="C33"/>
  <c r="F33" s="1"/>
  <c r="D33"/>
  <c r="C34"/>
  <c r="F34" s="1"/>
  <c r="D34"/>
  <c r="C35"/>
  <c r="F35" s="1"/>
  <c r="D35"/>
  <c r="C36"/>
  <c r="F36" s="1"/>
  <c r="D36"/>
  <c r="C37"/>
  <c r="F37" s="1"/>
  <c r="D37"/>
  <c r="C38"/>
  <c r="F38" s="1"/>
  <c r="D38"/>
  <c r="C39"/>
  <c r="F39" s="1"/>
  <c r="D39"/>
  <c r="C40"/>
  <c r="F40" s="1"/>
  <c r="D40"/>
  <c r="C41"/>
  <c r="F41" s="1"/>
  <c r="D41"/>
  <c r="C42"/>
  <c r="F42" s="1"/>
  <c r="D42"/>
  <c r="C43"/>
  <c r="F43" s="1"/>
  <c r="D43"/>
  <c r="C44"/>
  <c r="F44" s="1"/>
  <c r="D44"/>
  <c r="C45"/>
  <c r="F45" s="1"/>
  <c r="D45"/>
  <c r="C46"/>
  <c r="F46" s="1"/>
  <c r="D46"/>
  <c r="C47"/>
  <c r="F47" s="1"/>
  <c r="D47"/>
  <c r="C48"/>
  <c r="F48" s="1"/>
  <c r="D48"/>
  <c r="C49"/>
  <c r="F49" s="1"/>
  <c r="D49"/>
  <c r="C50"/>
  <c r="F50" s="1"/>
  <c r="D50"/>
  <c r="C51"/>
  <c r="F51" s="1"/>
  <c r="D51"/>
  <c r="D5"/>
  <c r="J18" i="15"/>
  <c r="I18"/>
  <c r="M57" i="4"/>
  <c r="O57"/>
  <c r="D58"/>
  <c r="C58"/>
  <c r="M44"/>
  <c r="J15" i="1"/>
  <c r="J14"/>
  <c r="J13"/>
  <c r="J12"/>
  <c r="J11"/>
  <c r="O20" i="4"/>
  <c r="J42"/>
  <c r="J41"/>
  <c r="J40"/>
  <c r="J39"/>
  <c r="J38"/>
  <c r="J37"/>
  <c r="J35"/>
  <c r="J34"/>
  <c r="M40"/>
  <c r="M39"/>
  <c r="M37"/>
  <c r="M36"/>
  <c r="M35"/>
  <c r="M41"/>
  <c r="M42"/>
  <c r="P42"/>
  <c r="P41"/>
  <c r="P40"/>
  <c r="P39"/>
  <c r="P37"/>
  <c r="P36"/>
  <c r="P35"/>
  <c r="G42"/>
  <c r="G41"/>
  <c r="G40"/>
  <c r="G39"/>
  <c r="G38"/>
  <c r="G37"/>
  <c r="G36"/>
  <c r="G35"/>
  <c r="G34"/>
  <c r="M53"/>
  <c r="M52"/>
  <c r="M51"/>
  <c r="M50"/>
  <c r="M49"/>
  <c r="M48"/>
  <c r="M47"/>
  <c r="M45"/>
  <c r="G29"/>
  <c r="G31"/>
  <c r="J29"/>
  <c r="P27"/>
  <c r="M27"/>
  <c r="D31"/>
  <c r="D30"/>
  <c r="D29"/>
  <c r="D28"/>
  <c r="D27"/>
  <c r="D26"/>
  <c r="D25"/>
  <c r="F11" i="1"/>
  <c r="F15"/>
  <c r="F14"/>
  <c r="F13"/>
  <c r="F12"/>
  <c r="I16" i="4"/>
  <c r="I15"/>
  <c r="I14"/>
  <c r="H23" i="1"/>
  <c r="H22"/>
  <c r="H21"/>
  <c r="C128" i="18" s="1"/>
  <c r="C10" i="12" s="1"/>
  <c r="F10" s="1"/>
  <c r="H19" i="1"/>
  <c r="H20"/>
  <c r="G30" i="4" s="1"/>
  <c r="AA22" i="3"/>
  <c r="J36" i="4"/>
  <c r="F4" i="15"/>
  <c r="D61" i="3"/>
  <c r="D57"/>
  <c r="D58"/>
  <c r="AB23"/>
  <c r="C155" i="18" l="1"/>
  <c r="C153"/>
  <c r="C151"/>
  <c r="C149"/>
  <c r="C156"/>
  <c r="C154"/>
  <c r="C152"/>
  <c r="C150"/>
  <c r="F5" i="15"/>
  <c r="K12" i="2"/>
  <c r="C5" i="14"/>
  <c r="E5"/>
  <c r="AC7"/>
  <c r="AC3"/>
  <c r="AC4"/>
  <c r="AC1"/>
  <c r="AC5"/>
  <c r="AC6"/>
  <c r="AC2"/>
  <c r="J50" i="12"/>
  <c r="J48"/>
  <c r="J46"/>
  <c r="J44"/>
  <c r="J42"/>
  <c r="J40"/>
  <c r="J38"/>
  <c r="J36"/>
  <c r="J34"/>
  <c r="J32"/>
  <c r="J30"/>
  <c r="J28"/>
  <c r="J26"/>
  <c r="J24"/>
  <c r="J22"/>
  <c r="J20"/>
  <c r="J18"/>
  <c r="J16"/>
  <c r="J14"/>
  <c r="J12"/>
  <c r="J10"/>
  <c r="J8"/>
  <c r="B35" i="3"/>
  <c r="J51" i="12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  <c r="J9"/>
  <c r="J7"/>
  <c r="P28" i="4"/>
  <c r="C160" i="18"/>
  <c r="K9" i="2"/>
  <c r="K11"/>
  <c r="K8"/>
  <c r="K10"/>
  <c r="C71" i="18"/>
  <c r="C75"/>
  <c r="C79"/>
  <c r="C81"/>
  <c r="C84"/>
  <c r="C86"/>
  <c r="C89"/>
  <c r="C91"/>
  <c r="C92"/>
  <c r="C95"/>
  <c r="C97"/>
  <c r="C99"/>
  <c r="C101"/>
  <c r="C103"/>
  <c r="C105"/>
  <c r="C107"/>
  <c r="C110"/>
  <c r="C111"/>
  <c r="C117"/>
  <c r="C121"/>
  <c r="C124"/>
  <c r="C126"/>
  <c r="C132"/>
  <c r="C135"/>
  <c r="C139"/>
  <c r="C77"/>
  <c r="C113"/>
  <c r="C140"/>
  <c r="C142"/>
  <c r="C146"/>
  <c r="C144"/>
  <c r="C148"/>
  <c r="C158"/>
  <c r="C159"/>
  <c r="C161"/>
  <c r="C69"/>
  <c r="C74"/>
  <c r="C80"/>
  <c r="C78"/>
  <c r="C119"/>
  <c r="C85"/>
  <c r="C87"/>
  <c r="C88"/>
  <c r="C90"/>
  <c r="C93"/>
  <c r="C96"/>
  <c r="C98"/>
  <c r="C102"/>
  <c r="C104"/>
  <c r="C106"/>
  <c r="C108"/>
  <c r="C109"/>
  <c r="C112"/>
  <c r="C118"/>
  <c r="C120"/>
  <c r="C123"/>
  <c r="C129"/>
  <c r="C130"/>
  <c r="F6" i="12" s="1"/>
  <c r="C134" i="18"/>
  <c r="C138"/>
  <c r="C73"/>
  <c r="C94"/>
  <c r="C114"/>
  <c r="C141"/>
  <c r="C143"/>
  <c r="C145"/>
  <c r="C147"/>
  <c r="C157"/>
  <c r="M46" i="4"/>
  <c r="C31" i="18"/>
  <c r="L5" i="16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F5"/>
  <c r="H5"/>
  <c r="I5"/>
  <c r="J5"/>
  <c r="F6"/>
  <c r="H6"/>
  <c r="I6"/>
  <c r="J6"/>
  <c r="F7"/>
  <c r="H7"/>
  <c r="I7"/>
  <c r="J7"/>
  <c r="F8"/>
  <c r="H8"/>
  <c r="I8"/>
  <c r="J8"/>
  <c r="F9"/>
  <c r="H9"/>
  <c r="I9"/>
  <c r="J9"/>
  <c r="F10"/>
  <c r="H10"/>
  <c r="I10"/>
  <c r="J10"/>
  <c r="F11"/>
  <c r="H11"/>
  <c r="I11"/>
  <c r="J11"/>
  <c r="F12"/>
  <c r="H12"/>
  <c r="I12"/>
  <c r="J12"/>
  <c r="F13"/>
  <c r="H13"/>
  <c r="I13"/>
  <c r="J13"/>
  <c r="F14"/>
  <c r="H14"/>
  <c r="I14"/>
  <c r="J14"/>
  <c r="F15"/>
  <c r="H15"/>
  <c r="I15"/>
  <c r="J15"/>
  <c r="F16"/>
  <c r="H16"/>
  <c r="I16"/>
  <c r="J16"/>
  <c r="F17"/>
  <c r="H17"/>
  <c r="I17"/>
  <c r="J17"/>
  <c r="F18"/>
  <c r="H18"/>
  <c r="I18"/>
  <c r="J18"/>
  <c r="F19"/>
  <c r="H19"/>
  <c r="I19"/>
  <c r="J19"/>
  <c r="F20"/>
  <c r="H20"/>
  <c r="I20"/>
  <c r="J20"/>
  <c r="F21"/>
  <c r="H21"/>
  <c r="I21"/>
  <c r="J21"/>
  <c r="F22"/>
  <c r="H22"/>
  <c r="I22"/>
  <c r="J22"/>
  <c r="F23"/>
  <c r="H23"/>
  <c r="I23"/>
  <c r="J23"/>
  <c r="F24"/>
  <c r="H24"/>
  <c r="I24"/>
  <c r="J24"/>
  <c r="F25"/>
  <c r="H25"/>
  <c r="I25"/>
  <c r="J25"/>
  <c r="F26"/>
  <c r="H26"/>
  <c r="I26"/>
  <c r="J26"/>
  <c r="F27"/>
  <c r="H27"/>
  <c r="I27"/>
  <c r="J27"/>
  <c r="F28"/>
  <c r="H28"/>
  <c r="I28"/>
  <c r="J28"/>
  <c r="F29"/>
  <c r="H29"/>
  <c r="I29"/>
  <c r="J29"/>
  <c r="F30"/>
  <c r="H30"/>
  <c r="I30"/>
  <c r="J30"/>
  <c r="F31"/>
  <c r="H31"/>
  <c r="I31"/>
  <c r="J31"/>
  <c r="F32"/>
  <c r="H32"/>
  <c r="I32"/>
  <c r="J32"/>
  <c r="F33"/>
  <c r="H33"/>
  <c r="I33"/>
  <c r="J33"/>
  <c r="F34"/>
  <c r="H34"/>
  <c r="I34"/>
  <c r="J34"/>
  <c r="F35"/>
  <c r="H35"/>
  <c r="I35"/>
  <c r="J35"/>
  <c r="F36"/>
  <c r="H36"/>
  <c r="I36"/>
  <c r="J36"/>
  <c r="F37"/>
  <c r="H37"/>
  <c r="I37"/>
  <c r="J37"/>
  <c r="F38"/>
  <c r="H38"/>
  <c r="I38"/>
  <c r="J38"/>
  <c r="F39"/>
  <c r="H39"/>
  <c r="I39"/>
  <c r="J39"/>
  <c r="F40"/>
  <c r="H40"/>
  <c r="I40"/>
  <c r="J40"/>
  <c r="F41"/>
  <c r="H41"/>
  <c r="I41"/>
  <c r="J41"/>
  <c r="F42"/>
  <c r="H42"/>
  <c r="I42"/>
  <c r="J42"/>
  <c r="F43"/>
  <c r="H43"/>
  <c r="I43"/>
  <c r="J43"/>
  <c r="F44"/>
  <c r="H44"/>
  <c r="I44"/>
  <c r="J44"/>
  <c r="F45"/>
  <c r="H45"/>
  <c r="I45"/>
  <c r="J45"/>
  <c r="F46"/>
  <c r="H46"/>
  <c r="I46"/>
  <c r="J46"/>
  <c r="F47"/>
  <c r="H47"/>
  <c r="I47"/>
  <c r="J47"/>
  <c r="F48"/>
  <c r="H48"/>
  <c r="I48"/>
  <c r="J48"/>
  <c r="F49"/>
  <c r="H49"/>
  <c r="I49"/>
  <c r="J49"/>
  <c r="F50"/>
  <c r="H50"/>
  <c r="I50"/>
  <c r="J50"/>
  <c r="F51"/>
  <c r="H51"/>
  <c r="I51"/>
  <c r="J51"/>
  <c r="F52"/>
  <c r="H52"/>
  <c r="I52"/>
  <c r="J52"/>
  <c r="F53"/>
  <c r="H53"/>
  <c r="I53"/>
  <c r="J53"/>
  <c r="F54"/>
  <c r="H54"/>
  <c r="I54"/>
  <c r="J54"/>
  <c r="I4"/>
  <c r="H4"/>
  <c r="F4"/>
  <c r="L4"/>
  <c r="J14" i="15"/>
  <c r="K14"/>
  <c r="I5" i="4" s="1"/>
  <c r="O9"/>
  <c r="D20" i="1"/>
  <c r="G5" i="4"/>
  <c r="I8" i="12"/>
  <c r="I9"/>
  <c r="I11"/>
  <c r="I12"/>
  <c r="I13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AF14" i="3"/>
  <c r="J20" s="1"/>
  <c r="H11"/>
  <c r="AG14"/>
  <c r="AF10" i="4"/>
  <c r="AF9"/>
  <c r="AF8"/>
  <c r="AF7"/>
  <c r="AF6"/>
  <c r="AF5"/>
  <c r="AF4"/>
  <c r="AF3"/>
  <c r="AF2"/>
  <c r="AF1"/>
  <c r="AE3"/>
  <c r="R36"/>
  <c r="J4" i="16"/>
  <c r="R46" i="4"/>
  <c r="F15" i="14" l="1"/>
  <c r="E9"/>
  <c r="F9" s="1"/>
  <c r="E6"/>
  <c r="F6" s="1"/>
  <c r="E7"/>
  <c r="F7" s="1"/>
  <c r="E8"/>
  <c r="F8" s="1"/>
  <c r="F5"/>
  <c r="C9"/>
  <c r="D9" s="1"/>
  <c r="D5"/>
  <c r="C6"/>
  <c r="D6" s="1"/>
  <c r="C7"/>
  <c r="D7" s="1"/>
  <c r="C8"/>
  <c r="D8" s="1"/>
  <c r="J6" i="12"/>
  <c r="K27" i="3"/>
  <c r="A42" i="4"/>
  <c r="A41"/>
  <c r="A40"/>
  <c r="AE12"/>
  <c r="AE52" s="1"/>
  <c r="AE11"/>
  <c r="AE51" s="1"/>
  <c r="AE10"/>
  <c r="AE40" s="1"/>
  <c r="AE9"/>
  <c r="AE49" s="1"/>
  <c r="AE8"/>
  <c r="AE7"/>
  <c r="AE4"/>
  <c r="AE24" s="1"/>
  <c r="AE5"/>
  <c r="AE45" s="1"/>
  <c r="AE6"/>
  <c r="AE46"/>
  <c r="AE33"/>
  <c r="M33" s="1"/>
  <c r="A38"/>
  <c r="A33"/>
  <c r="AE22" l="1"/>
  <c r="AE42"/>
  <c r="AE32"/>
  <c r="AE21"/>
  <c r="AE31"/>
  <c r="AE41"/>
  <c r="AE48"/>
  <c r="P38" s="1"/>
  <c r="AE18"/>
  <c r="AE28"/>
  <c r="AE38"/>
  <c r="M38" s="1"/>
  <c r="AE50"/>
  <c r="AE20"/>
  <c r="AE30"/>
  <c r="AE19"/>
  <c r="AE39"/>
  <c r="AE29"/>
  <c r="AE27"/>
  <c r="AE47"/>
  <c r="AE37"/>
  <c r="AE17"/>
  <c r="D24" i="1"/>
  <c r="AG3" s="1"/>
  <c r="D23"/>
  <c r="AF2" s="1"/>
  <c r="D22"/>
  <c r="AE3" s="1"/>
  <c r="A39" i="4"/>
  <c r="AE25"/>
  <c r="AE16"/>
  <c r="AE36"/>
  <c r="AE35"/>
  <c r="AE26"/>
  <c r="AE15"/>
  <c r="AE43"/>
  <c r="P33" s="1"/>
  <c r="AE14"/>
  <c r="AE44"/>
  <c r="P34" s="1"/>
  <c r="AE13"/>
  <c r="G33" s="1"/>
  <c r="AE23"/>
  <c r="J33" s="1"/>
  <c r="AE34"/>
  <c r="M34" s="1"/>
  <c r="A35"/>
  <c r="A37"/>
  <c r="A36"/>
  <c r="A34"/>
  <c r="AC23" i="3"/>
  <c r="AD23"/>
  <c r="F23" i="1" l="1"/>
  <c r="AF1"/>
  <c r="AG50"/>
  <c r="AE50"/>
  <c r="AF49"/>
  <c r="AG48"/>
  <c r="AE48"/>
  <c r="AF47"/>
  <c r="AG46"/>
  <c r="AE46"/>
  <c r="AF45"/>
  <c r="AG44"/>
  <c r="AE44"/>
  <c r="AF43"/>
  <c r="AG42"/>
  <c r="AE42"/>
  <c r="AF41"/>
  <c r="AG40"/>
  <c r="AE40"/>
  <c r="AF39"/>
  <c r="AG38"/>
  <c r="AE38"/>
  <c r="AF37"/>
  <c r="AG36"/>
  <c r="AE36"/>
  <c r="AF35"/>
  <c r="AG34"/>
  <c r="AE34"/>
  <c r="AF33"/>
  <c r="AG32"/>
  <c r="AE32"/>
  <c r="AF31"/>
  <c r="AG30"/>
  <c r="AE30"/>
  <c r="AF29"/>
  <c r="AG28"/>
  <c r="AE28"/>
  <c r="AF27"/>
  <c r="AG26"/>
  <c r="AE26"/>
  <c r="AF25"/>
  <c r="AG24"/>
  <c r="AE24"/>
  <c r="AF23"/>
  <c r="AG22"/>
  <c r="AE22"/>
  <c r="AF21"/>
  <c r="AG20"/>
  <c r="AE20"/>
  <c r="AF19"/>
  <c r="AG18"/>
  <c r="AE18"/>
  <c r="AF17"/>
  <c r="AG16"/>
  <c r="AE16"/>
  <c r="AF15"/>
  <c r="AG14"/>
  <c r="AE14"/>
  <c r="AF13"/>
  <c r="AG12"/>
  <c r="AE12"/>
  <c r="AF11"/>
  <c r="AG10"/>
  <c r="AE10"/>
  <c r="AF9"/>
  <c r="AG8"/>
  <c r="AE8"/>
  <c r="AF7"/>
  <c r="AG6"/>
  <c r="AE6"/>
  <c r="AF5"/>
  <c r="AG4"/>
  <c r="AE4"/>
  <c r="AF3"/>
  <c r="AG2"/>
  <c r="AE2"/>
  <c r="F22"/>
  <c r="F24"/>
  <c r="AE1"/>
  <c r="AG1"/>
  <c r="AF50"/>
  <c r="AG49"/>
  <c r="AE49"/>
  <c r="AF48"/>
  <c r="AG47"/>
  <c r="AE47"/>
  <c r="AF46"/>
  <c r="AG45"/>
  <c r="AE45"/>
  <c r="AF44"/>
  <c r="AG43"/>
  <c r="AE43"/>
  <c r="AF42"/>
  <c r="AG41"/>
  <c r="AE41"/>
  <c r="AF40"/>
  <c r="AG39"/>
  <c r="AE39"/>
  <c r="AF38"/>
  <c r="AG37"/>
  <c r="AE37"/>
  <c r="AF36"/>
  <c r="AG35"/>
  <c r="AE35"/>
  <c r="AF34"/>
  <c r="AG33"/>
  <c r="AE33"/>
  <c r="AF32"/>
  <c r="AG31"/>
  <c r="AE31"/>
  <c r="AF30"/>
  <c r="AG29"/>
  <c r="AE29"/>
  <c r="AF28"/>
  <c r="AG27"/>
  <c r="AE27"/>
  <c r="AF26"/>
  <c r="AG25"/>
  <c r="AE25"/>
  <c r="AF24"/>
  <c r="AG23"/>
  <c r="AE23"/>
  <c r="AF22"/>
  <c r="AG21"/>
  <c r="AE21"/>
  <c r="AF20"/>
  <c r="AG19"/>
  <c r="AE19"/>
  <c r="AF18"/>
  <c r="AG17"/>
  <c r="AE17"/>
  <c r="AF16"/>
  <c r="AG15"/>
  <c r="AE15"/>
  <c r="AF14"/>
  <c r="AG13"/>
  <c r="AE13"/>
  <c r="AF12"/>
  <c r="AG11"/>
  <c r="AE11"/>
  <c r="AF10"/>
  <c r="AG9"/>
  <c r="AE9"/>
  <c r="AF8"/>
  <c r="AG7"/>
  <c r="AE7"/>
  <c r="AF6"/>
  <c r="AG5"/>
  <c r="AE5"/>
  <c r="AF4"/>
  <c r="R53" i="4"/>
  <c r="R52"/>
  <c r="R50"/>
  <c r="R51"/>
  <c r="D21" i="1"/>
  <c r="M10" i="4"/>
  <c r="M9"/>
  <c r="H35" i="2"/>
  <c r="D35"/>
  <c r="D21"/>
  <c r="H21"/>
  <c r="H7"/>
  <c r="G35"/>
  <c r="G21"/>
  <c r="C35"/>
  <c r="C21"/>
  <c r="G7"/>
  <c r="R42" i="4"/>
  <c r="R41"/>
  <c r="R40"/>
  <c r="R49"/>
  <c r="R37"/>
  <c r="R47"/>
  <c r="R34"/>
  <c r="R48"/>
  <c r="R45"/>
  <c r="R44"/>
  <c r="J8" i="2" l="1"/>
  <c r="AD2" i="1"/>
  <c r="AD4"/>
  <c r="AD6"/>
  <c r="AD8"/>
  <c r="AD10"/>
  <c r="AD12"/>
  <c r="AD14"/>
  <c r="AD16"/>
  <c r="AD18"/>
  <c r="AD20"/>
  <c r="AD22"/>
  <c r="AD24"/>
  <c r="AD26"/>
  <c r="AD28"/>
  <c r="AD30"/>
  <c r="AD32"/>
  <c r="AD34"/>
  <c r="AD36"/>
  <c r="AD38"/>
  <c r="AD40"/>
  <c r="AD42"/>
  <c r="AD44"/>
  <c r="AD46"/>
  <c r="AD48"/>
  <c r="AD50"/>
  <c r="AD3"/>
  <c r="AD5"/>
  <c r="AD7"/>
  <c r="AD9"/>
  <c r="AD11"/>
  <c r="AD13"/>
  <c r="AD15"/>
  <c r="AD17"/>
  <c r="AD19"/>
  <c r="AD21"/>
  <c r="AD23"/>
  <c r="AD25"/>
  <c r="AD27"/>
  <c r="AD29"/>
  <c r="AD31"/>
  <c r="AD33"/>
  <c r="AD35"/>
  <c r="AD37"/>
  <c r="AD39"/>
  <c r="AD41"/>
  <c r="AD43"/>
  <c r="AD45"/>
  <c r="AD47"/>
  <c r="AD49"/>
  <c r="AD1"/>
  <c r="F21"/>
  <c r="E43" i="4"/>
  <c r="N42"/>
  <c r="N41"/>
  <c r="N40"/>
  <c r="N39"/>
  <c r="N38"/>
  <c r="N37"/>
  <c r="N36"/>
  <c r="N35"/>
  <c r="N34"/>
  <c r="H42"/>
  <c r="H41"/>
  <c r="H40"/>
  <c r="H39"/>
  <c r="H38"/>
  <c r="H37"/>
  <c r="H36"/>
  <c r="H35"/>
  <c r="H34"/>
  <c r="E42"/>
  <c r="E41"/>
  <c r="E40"/>
  <c r="E39"/>
  <c r="E38"/>
  <c r="E37"/>
  <c r="E36"/>
  <c r="E35"/>
  <c r="E34"/>
  <c r="H29"/>
  <c r="H33"/>
  <c r="E32" l="1"/>
  <c r="R25"/>
  <c r="R31"/>
  <c r="R29"/>
  <c r="R28"/>
  <c r="R27"/>
  <c r="R26"/>
  <c r="N33"/>
  <c r="E31"/>
  <c r="AB22" i="3" s="1"/>
  <c r="E29" i="4"/>
  <c r="E28"/>
  <c r="E27"/>
  <c r="E25"/>
  <c r="E26"/>
  <c r="H26"/>
  <c r="G24" i="1"/>
  <c r="G23"/>
  <c r="G22"/>
  <c r="F60" i="3"/>
  <c r="F59"/>
  <c r="G20" i="4"/>
  <c r="H68" i="3" s="1"/>
  <c r="E20" i="4"/>
  <c r="C20"/>
  <c r="D20" s="1"/>
  <c r="H24" i="1"/>
  <c r="B9" i="4" s="1"/>
  <c r="C10" s="1"/>
  <c r="C25" i="1"/>
  <c r="D19"/>
  <c r="N28" i="4"/>
  <c r="G67" i="3"/>
  <c r="F67"/>
  <c r="E29"/>
  <c r="E28"/>
  <c r="F40"/>
  <c r="G21" i="1"/>
  <c r="R39" i="4"/>
  <c r="R35"/>
  <c r="G19" i="1"/>
  <c r="R38" i="4"/>
  <c r="R33"/>
  <c r="G29" i="3" l="1"/>
  <c r="D35"/>
  <c r="C70" i="18"/>
  <c r="K15" i="14"/>
  <c r="C122" i="18"/>
  <c r="C76"/>
  <c r="C83"/>
  <c r="C115"/>
  <c r="C133"/>
  <c r="C137"/>
  <c r="C131"/>
  <c r="C136"/>
  <c r="C72"/>
  <c r="C116"/>
  <c r="C125"/>
  <c r="C162"/>
  <c r="C56"/>
  <c r="C64"/>
  <c r="C4" i="15"/>
  <c r="R30" i="4"/>
  <c r="B9" i="15"/>
  <c r="D9" s="1"/>
  <c r="AB2" i="1"/>
  <c r="AB4"/>
  <c r="AB6"/>
  <c r="AB8"/>
  <c r="AB10"/>
  <c r="AB12"/>
  <c r="AB14"/>
  <c r="AB16"/>
  <c r="AB18"/>
  <c r="AB20"/>
  <c r="AB22"/>
  <c r="AB24"/>
  <c r="AB26"/>
  <c r="AB28"/>
  <c r="AB30"/>
  <c r="AB32"/>
  <c r="AB34"/>
  <c r="AB36"/>
  <c r="AB38"/>
  <c r="AB40"/>
  <c r="AB42"/>
  <c r="AB44"/>
  <c r="AB46"/>
  <c r="AB48"/>
  <c r="AB50"/>
  <c r="AB1"/>
  <c r="AB3"/>
  <c r="AB5"/>
  <c r="AB7"/>
  <c r="AB9"/>
  <c r="AB11"/>
  <c r="AB13"/>
  <c r="AB15"/>
  <c r="AB17"/>
  <c r="AB19"/>
  <c r="AB21"/>
  <c r="AB23"/>
  <c r="AB25"/>
  <c r="AB27"/>
  <c r="AB29"/>
  <c r="AB31"/>
  <c r="AB33"/>
  <c r="AB35"/>
  <c r="AB37"/>
  <c r="AB39"/>
  <c r="AB41"/>
  <c r="AB43"/>
  <c r="AB45"/>
  <c r="AB47"/>
  <c r="AB49"/>
  <c r="F19"/>
  <c r="AC3"/>
  <c r="AC5"/>
  <c r="AC7"/>
  <c r="AC9"/>
  <c r="AC11"/>
  <c r="AC13"/>
  <c r="AC15"/>
  <c r="AC17"/>
  <c r="AC19"/>
  <c r="AC21"/>
  <c r="AC23"/>
  <c r="AC25"/>
  <c r="AC27"/>
  <c r="AC29"/>
  <c r="AC31"/>
  <c r="AC33"/>
  <c r="AC35"/>
  <c r="AC37"/>
  <c r="AC39"/>
  <c r="AC41"/>
  <c r="AC43"/>
  <c r="AC45"/>
  <c r="AC47"/>
  <c r="AC49"/>
  <c r="AC1"/>
  <c r="F20"/>
  <c r="AC2"/>
  <c r="AC4"/>
  <c r="AC6"/>
  <c r="AC8"/>
  <c r="AC10"/>
  <c r="AC12"/>
  <c r="AC14"/>
  <c r="AC16"/>
  <c r="AC18"/>
  <c r="AC20"/>
  <c r="AC22"/>
  <c r="AC24"/>
  <c r="AC26"/>
  <c r="AC28"/>
  <c r="AC30"/>
  <c r="AC32"/>
  <c r="AC34"/>
  <c r="AC36"/>
  <c r="AC38"/>
  <c r="AC40"/>
  <c r="AC42"/>
  <c r="AC44"/>
  <c r="AC46"/>
  <c r="AC48"/>
  <c r="AC50"/>
  <c r="M15" i="14"/>
  <c r="J15"/>
  <c r="I24" i="1"/>
  <c r="I20"/>
  <c r="E112" i="8" s="1"/>
  <c r="M10" i="14"/>
  <c r="H25" i="1"/>
  <c r="E33" i="4"/>
  <c r="E30"/>
  <c r="B5" i="3"/>
  <c r="AF11" s="1"/>
  <c r="B4"/>
  <c r="AA11" i="5"/>
  <c r="G20" i="1"/>
  <c r="J26" i="4" l="1"/>
  <c r="G26"/>
  <c r="E111" i="8"/>
  <c r="AD1" i="4"/>
  <c r="K58" s="1"/>
  <c r="B59"/>
  <c r="I25" i="1"/>
  <c r="C100" i="18"/>
  <c r="C82"/>
  <c r="C127"/>
  <c r="E14" i="8"/>
  <c r="F60"/>
  <c r="E29"/>
  <c r="F29"/>
  <c r="E6"/>
  <c r="F16"/>
  <c r="E46"/>
  <c r="F66"/>
  <c r="E97"/>
  <c r="E100"/>
  <c r="E7"/>
  <c r="F59"/>
  <c r="E4"/>
  <c r="E12"/>
  <c r="E16"/>
  <c r="E27"/>
  <c r="E40"/>
  <c r="E57"/>
  <c r="F62"/>
  <c r="E96"/>
  <c r="E106"/>
  <c r="E3"/>
  <c r="E17"/>
  <c r="E41"/>
  <c r="E110"/>
  <c r="C29" i="3"/>
  <c r="D5" i="4"/>
  <c r="E107" i="8"/>
  <c r="M8" i="2"/>
  <c r="E94" i="8"/>
  <c r="E98"/>
  <c r="E102"/>
  <c r="E108"/>
  <c r="E113"/>
  <c r="E5"/>
  <c r="E13"/>
  <c r="E18"/>
  <c r="E39"/>
  <c r="F57"/>
  <c r="F63"/>
  <c r="E99"/>
  <c r="L8" i="2"/>
  <c r="AC14" i="5"/>
  <c r="L3" i="2"/>
  <c r="I4" i="3"/>
  <c r="AB4"/>
  <c r="AB8"/>
  <c r="AB2"/>
  <c r="AB11"/>
  <c r="AA3" i="5"/>
  <c r="E101" i="8" l="1"/>
  <c r="J8" i="10"/>
  <c r="J6"/>
  <c r="J4"/>
  <c r="D8"/>
  <c r="D6"/>
  <c r="D4"/>
  <c r="J7"/>
  <c r="J5"/>
  <c r="J3"/>
  <c r="D7"/>
  <c r="D5"/>
  <c r="D3"/>
  <c r="E105" i="8"/>
  <c r="E48"/>
  <c r="F31"/>
  <c r="E10"/>
  <c r="E104"/>
  <c r="F61"/>
  <c r="E31"/>
  <c r="F64"/>
  <c r="E20"/>
  <c r="F43"/>
  <c r="E71"/>
  <c r="F19"/>
  <c r="F42"/>
  <c r="E53"/>
  <c r="F71"/>
  <c r="E11"/>
  <c r="F24"/>
  <c r="F36"/>
  <c r="F53"/>
  <c r="F67"/>
  <c r="E95"/>
  <c r="E8"/>
  <c r="E19"/>
  <c r="F22"/>
  <c r="E33"/>
  <c r="E43"/>
  <c r="F54"/>
  <c r="F58"/>
  <c r="F68"/>
  <c r="F73"/>
  <c r="E9"/>
  <c r="E15"/>
  <c r="F20"/>
  <c r="E28"/>
  <c r="F33"/>
  <c r="E42"/>
  <c r="E47"/>
  <c r="E52"/>
  <c r="F65"/>
  <c r="F69"/>
  <c r="E91"/>
  <c r="K4" i="14"/>
  <c r="K19"/>
  <c r="L10"/>
  <c r="N10" s="1"/>
  <c r="L11"/>
  <c r="N11" s="1"/>
  <c r="I19" i="1"/>
  <c r="AF9" i="3"/>
  <c r="D56"/>
  <c r="AF12"/>
  <c r="AF4"/>
  <c r="E46" i="4"/>
  <c r="E51"/>
  <c r="AF1" i="3"/>
  <c r="AD8"/>
  <c r="H50" i="4"/>
  <c r="N50"/>
  <c r="E47"/>
  <c r="E49"/>
  <c r="N44"/>
  <c r="H46"/>
  <c r="AG4" i="3"/>
  <c r="H53" i="4"/>
  <c r="N51"/>
  <c r="E53"/>
  <c r="E44"/>
  <c r="H45"/>
  <c r="AG7" i="3"/>
  <c r="N48" i="4"/>
  <c r="H44"/>
  <c r="AG9" i="3"/>
  <c r="AD7"/>
  <c r="AG3"/>
  <c r="N53" i="4"/>
  <c r="E50"/>
  <c r="H49"/>
  <c r="N45"/>
  <c r="AG10" i="3"/>
  <c r="AF2"/>
  <c r="AG2"/>
  <c r="H47" i="4"/>
  <c r="AG8" i="3"/>
  <c r="AG1"/>
  <c r="N47" i="4"/>
  <c r="AF3" i="3"/>
  <c r="H52" i="4"/>
  <c r="N46"/>
  <c r="AG5" i="3"/>
  <c r="H51" i="4"/>
  <c r="N52"/>
  <c r="E52"/>
  <c r="N49"/>
  <c r="AF5" i="3"/>
  <c r="E48" i="4"/>
  <c r="AG11" i="3"/>
  <c r="H48" i="4"/>
  <c r="E45"/>
  <c r="AB6" i="3" l="1"/>
  <c r="L10"/>
  <c r="D7" i="5"/>
  <c r="D11"/>
  <c r="J68" i="3"/>
  <c r="N5" i="14"/>
  <c r="N4" s="1"/>
  <c r="AF6" i="3"/>
  <c r="C35" s="1"/>
  <c r="E35" s="1"/>
  <c r="F35" s="1"/>
  <c r="AC13" i="5"/>
  <c r="J19" i="14"/>
  <c r="L19" s="1"/>
  <c r="AF7" i="3"/>
  <c r="B62"/>
  <c r="AA15" i="5"/>
  <c r="AB15"/>
  <c r="AA19"/>
  <c r="AB19"/>
  <c r="AA8"/>
  <c r="AB20"/>
  <c r="AA20"/>
  <c r="AB17"/>
  <c r="AA17"/>
  <c r="AB16"/>
  <c r="AA16"/>
  <c r="AB18"/>
  <c r="AA18"/>
  <c r="AB13" i="3"/>
  <c r="H20" s="1"/>
  <c r="E103" i="8"/>
  <c r="E93"/>
  <c r="F74"/>
  <c r="F72"/>
  <c r="E56"/>
  <c r="F55"/>
  <c r="F51"/>
  <c r="F49"/>
  <c r="E49"/>
  <c r="E45"/>
  <c r="F38"/>
  <c r="E35"/>
  <c r="E32"/>
  <c r="F25"/>
  <c r="E21"/>
  <c r="F21"/>
  <c r="E92"/>
  <c r="F75"/>
  <c r="F70"/>
  <c r="F56"/>
  <c r="E54"/>
  <c r="F50"/>
  <c r="E50"/>
  <c r="E44"/>
  <c r="F44"/>
  <c r="F37"/>
  <c r="F35"/>
  <c r="F34"/>
  <c r="F32"/>
  <c r="F30"/>
  <c r="F26"/>
  <c r="E23"/>
  <c r="O15" i="4"/>
  <c r="I23" i="1"/>
  <c r="I22"/>
  <c r="H19" i="15" s="1"/>
  <c r="I21" i="1"/>
  <c r="AB3" i="3"/>
  <c r="AB1"/>
  <c r="AB5"/>
  <c r="AB10"/>
  <c r="AB7"/>
  <c r="AG6" l="1"/>
  <c r="AC1" i="15"/>
  <c r="AC11"/>
  <c r="AC9"/>
  <c r="AC7"/>
  <c r="AC5"/>
  <c r="AC3"/>
  <c r="J4"/>
  <c r="AC2"/>
  <c r="AC10"/>
  <c r="AC8"/>
  <c r="AC6"/>
  <c r="AC4"/>
  <c r="I4"/>
  <c r="H22" i="3"/>
  <c r="G16" i="4"/>
  <c r="C14"/>
  <c r="C15"/>
  <c r="C16"/>
  <c r="Q15"/>
  <c r="G14"/>
  <c r="I5" i="3"/>
  <c r="K9" i="15" l="1"/>
  <c r="L20" i="14"/>
  <c r="AC3" i="4"/>
  <c r="AC5"/>
  <c r="AC7"/>
  <c r="AC9"/>
  <c r="AC11"/>
  <c r="AC13"/>
  <c r="AC15"/>
  <c r="AC17"/>
  <c r="AC19"/>
  <c r="AC21"/>
  <c r="AC23"/>
  <c r="AC25"/>
  <c r="AC27"/>
  <c r="AC29"/>
  <c r="AC31"/>
  <c r="AC33"/>
  <c r="AC35"/>
  <c r="AC37"/>
  <c r="AC39"/>
  <c r="AC41"/>
  <c r="AC43"/>
  <c r="AC45"/>
  <c r="AC47"/>
  <c r="AC49"/>
  <c r="AC51"/>
  <c r="AC53"/>
  <c r="AC55"/>
  <c r="AC57"/>
  <c r="AC59"/>
  <c r="AC61"/>
  <c r="AC63"/>
  <c r="AC65"/>
  <c r="AC67"/>
  <c r="AC69"/>
  <c r="AC71"/>
  <c r="AC73"/>
  <c r="AC75"/>
  <c r="AC77"/>
  <c r="AC79"/>
  <c r="AC81"/>
  <c r="AC83"/>
  <c r="AC85"/>
  <c r="AC87"/>
  <c r="AC89"/>
  <c r="AC91"/>
  <c r="AC93"/>
  <c r="AC95"/>
  <c r="AC97"/>
  <c r="AC99"/>
  <c r="AC101"/>
  <c r="AC103"/>
  <c r="AC105"/>
  <c r="AC107"/>
  <c r="AC109"/>
  <c r="AC111"/>
  <c r="AC113"/>
  <c r="AC115"/>
  <c r="AC117"/>
  <c r="AC119"/>
  <c r="AC121"/>
  <c r="AC123"/>
  <c r="AC125"/>
  <c r="AC127"/>
  <c r="AC129"/>
  <c r="AC131"/>
  <c r="AC133"/>
  <c r="AC135"/>
  <c r="AC137"/>
  <c r="AC139"/>
  <c r="AC141"/>
  <c r="AC143"/>
  <c r="AC145"/>
  <c r="AC147"/>
  <c r="AC149"/>
  <c r="AC151"/>
  <c r="AC153"/>
  <c r="AC155"/>
  <c r="AC157"/>
  <c r="AC159"/>
  <c r="AC161"/>
  <c r="AC163"/>
  <c r="AC165"/>
  <c r="AC167"/>
  <c r="AC169"/>
  <c r="AC171"/>
  <c r="AC173"/>
  <c r="AC175"/>
  <c r="AC177"/>
  <c r="AC179"/>
  <c r="AC181"/>
  <c r="AC183"/>
  <c r="AC185"/>
  <c r="AC187"/>
  <c r="AC189"/>
  <c r="AC191"/>
  <c r="AC193"/>
  <c r="AC195"/>
  <c r="AC197"/>
  <c r="AC199"/>
  <c r="AC201"/>
  <c r="AC1"/>
  <c r="AC2"/>
  <c r="AC4"/>
  <c r="AC6"/>
  <c r="AC8"/>
  <c r="AC10"/>
  <c r="AC12"/>
  <c r="AC14"/>
  <c r="AC16"/>
  <c r="AC18"/>
  <c r="AC20"/>
  <c r="AC22"/>
  <c r="AC24"/>
  <c r="AC26"/>
  <c r="AC28"/>
  <c r="AC30"/>
  <c r="AC32"/>
  <c r="AC34"/>
  <c r="AC36"/>
  <c r="AC38"/>
  <c r="AC40"/>
  <c r="AC42"/>
  <c r="AC44"/>
  <c r="AC46"/>
  <c r="AC48"/>
  <c r="AC50"/>
  <c r="AC52"/>
  <c r="AC54"/>
  <c r="AC56"/>
  <c r="AC58"/>
  <c r="AC60"/>
  <c r="AC62"/>
  <c r="AC64"/>
  <c r="AC66"/>
  <c r="AC68"/>
  <c r="AC70"/>
  <c r="AC72"/>
  <c r="AC74"/>
  <c r="AC76"/>
  <c r="AC78"/>
  <c r="AC80"/>
  <c r="AC82"/>
  <c r="AC84"/>
  <c r="AC86"/>
  <c r="AC88"/>
  <c r="AC90"/>
  <c r="AC92"/>
  <c r="AC94"/>
  <c r="AC96"/>
  <c r="AC98"/>
  <c r="AC100"/>
  <c r="AC102"/>
  <c r="AC104"/>
  <c r="AC106"/>
  <c r="AC108"/>
  <c r="AC110"/>
  <c r="AC112"/>
  <c r="AC114"/>
  <c r="AC116"/>
  <c r="AC118"/>
  <c r="AC120"/>
  <c r="AC122"/>
  <c r="AC124"/>
  <c r="AC126"/>
  <c r="AC128"/>
  <c r="AC130"/>
  <c r="AC132"/>
  <c r="AC134"/>
  <c r="AC136"/>
  <c r="AC138"/>
  <c r="AC140"/>
  <c r="AC142"/>
  <c r="AC144"/>
  <c r="AC146"/>
  <c r="AC148"/>
  <c r="AC150"/>
  <c r="AC152"/>
  <c r="AC154"/>
  <c r="AC156"/>
  <c r="AC158"/>
  <c r="AC160"/>
  <c r="AC162"/>
  <c r="AC164"/>
  <c r="AC166"/>
  <c r="AC168"/>
  <c r="AC170"/>
  <c r="AC172"/>
  <c r="AC174"/>
  <c r="AC176"/>
  <c r="AC178"/>
  <c r="AC180"/>
  <c r="AC182"/>
  <c r="AC184"/>
  <c r="AC186"/>
  <c r="AC188"/>
  <c r="AC190"/>
  <c r="AC192"/>
  <c r="AC194"/>
  <c r="AC196"/>
  <c r="AC198"/>
  <c r="AC200"/>
  <c r="AC202"/>
  <c r="E16"/>
  <c r="AB3"/>
  <c r="AB5"/>
  <c r="AB7"/>
  <c r="AB9"/>
  <c r="AB11"/>
  <c r="AB13"/>
  <c r="AB15"/>
  <c r="AB17"/>
  <c r="AB19"/>
  <c r="AB21"/>
  <c r="AB23"/>
  <c r="AB25"/>
  <c r="AB27"/>
  <c r="AB29"/>
  <c r="AB31"/>
  <c r="AB33"/>
  <c r="AB35"/>
  <c r="AB37"/>
  <c r="AB39"/>
  <c r="AB41"/>
  <c r="AB43"/>
  <c r="AB45"/>
  <c r="AB47"/>
  <c r="AB49"/>
  <c r="AB51"/>
  <c r="AB53"/>
  <c r="AB55"/>
  <c r="AB57"/>
  <c r="AB59"/>
  <c r="AB61"/>
  <c r="AB63"/>
  <c r="AB65"/>
  <c r="AB67"/>
  <c r="AB69"/>
  <c r="AB71"/>
  <c r="AB73"/>
  <c r="AB75"/>
  <c r="AB77"/>
  <c r="AB79"/>
  <c r="AB81"/>
  <c r="AB83"/>
  <c r="AB85"/>
  <c r="AB87"/>
  <c r="AB89"/>
  <c r="AB91"/>
  <c r="AB93"/>
  <c r="AB95"/>
  <c r="AB97"/>
  <c r="AB99"/>
  <c r="AB101"/>
  <c r="AB103"/>
  <c r="AB105"/>
  <c r="AB107"/>
  <c r="AB109"/>
  <c r="AB111"/>
  <c r="AB113"/>
  <c r="AB115"/>
  <c r="AB117"/>
  <c r="AB119"/>
  <c r="AB121"/>
  <c r="AB123"/>
  <c r="AB125"/>
  <c r="AB127"/>
  <c r="AB129"/>
  <c r="AB131"/>
  <c r="AB133"/>
  <c r="AB135"/>
  <c r="AB137"/>
  <c r="AB139"/>
  <c r="AB141"/>
  <c r="AB143"/>
  <c r="AB145"/>
  <c r="AB147"/>
  <c r="AB149"/>
  <c r="AB151"/>
  <c r="AB153"/>
  <c r="AB155"/>
  <c r="AB157"/>
  <c r="AB159"/>
  <c r="AB161"/>
  <c r="AB163"/>
  <c r="AB165"/>
  <c r="AB167"/>
  <c r="AB169"/>
  <c r="AB171"/>
  <c r="AB173"/>
  <c r="AB175"/>
  <c r="AB177"/>
  <c r="AB179"/>
  <c r="AB181"/>
  <c r="AB183"/>
  <c r="AB185"/>
  <c r="AB187"/>
  <c r="AB189"/>
  <c r="AB191"/>
  <c r="AB193"/>
  <c r="AB195"/>
  <c r="AB197"/>
  <c r="AB199"/>
  <c r="AB201"/>
  <c r="AB1"/>
  <c r="E15"/>
  <c r="AB2"/>
  <c r="AB4"/>
  <c r="AB6"/>
  <c r="AB8"/>
  <c r="AB10"/>
  <c r="AB12"/>
  <c r="AB14"/>
  <c r="AB16"/>
  <c r="AB18"/>
  <c r="AB20"/>
  <c r="AB22"/>
  <c r="AB24"/>
  <c r="AB26"/>
  <c r="AB28"/>
  <c r="AB30"/>
  <c r="AB32"/>
  <c r="AB34"/>
  <c r="AB36"/>
  <c r="AB38"/>
  <c r="AB40"/>
  <c r="AB42"/>
  <c r="AB44"/>
  <c r="AB46"/>
  <c r="AB48"/>
  <c r="AB50"/>
  <c r="AB52"/>
  <c r="AB54"/>
  <c r="AB56"/>
  <c r="AB58"/>
  <c r="AB60"/>
  <c r="AB62"/>
  <c r="AB64"/>
  <c r="AB66"/>
  <c r="AB68"/>
  <c r="AB70"/>
  <c r="AB72"/>
  <c r="AB74"/>
  <c r="AB76"/>
  <c r="AB78"/>
  <c r="AB80"/>
  <c r="AB82"/>
  <c r="AB84"/>
  <c r="AB86"/>
  <c r="AB88"/>
  <c r="AB90"/>
  <c r="AB92"/>
  <c r="AB94"/>
  <c r="AB96"/>
  <c r="AB98"/>
  <c r="AB100"/>
  <c r="AB102"/>
  <c r="AB104"/>
  <c r="AB106"/>
  <c r="AB108"/>
  <c r="AB110"/>
  <c r="AB112"/>
  <c r="AB114"/>
  <c r="AB116"/>
  <c r="AB118"/>
  <c r="AB120"/>
  <c r="AB122"/>
  <c r="AB124"/>
  <c r="AB126"/>
  <c r="AB128"/>
  <c r="AB130"/>
  <c r="AB132"/>
  <c r="AB134"/>
  <c r="AB136"/>
  <c r="AB138"/>
  <c r="AB140"/>
  <c r="AB142"/>
  <c r="AB144"/>
  <c r="AB146"/>
  <c r="AB148"/>
  <c r="AB150"/>
  <c r="AB152"/>
  <c r="AB154"/>
  <c r="AB156"/>
  <c r="AB158"/>
  <c r="AB160"/>
  <c r="AB162"/>
  <c r="AB164"/>
  <c r="AB166"/>
  <c r="AB168"/>
  <c r="AB170"/>
  <c r="AB172"/>
  <c r="AB174"/>
  <c r="AB176"/>
  <c r="AB178"/>
  <c r="AB180"/>
  <c r="AB182"/>
  <c r="AB184"/>
  <c r="AB186"/>
  <c r="AB188"/>
  <c r="AB190"/>
  <c r="AB192"/>
  <c r="AB194"/>
  <c r="AB196"/>
  <c r="AB198"/>
  <c r="AB200"/>
  <c r="AB202"/>
  <c r="AA3"/>
  <c r="AA5"/>
  <c r="AA7"/>
  <c r="AA9"/>
  <c r="AA11"/>
  <c r="AA13"/>
  <c r="AA15"/>
  <c r="AA17"/>
  <c r="AA19"/>
  <c r="AA21"/>
  <c r="AA23"/>
  <c r="AA25"/>
  <c r="AA27"/>
  <c r="AA29"/>
  <c r="AA31"/>
  <c r="AA33"/>
  <c r="AA35"/>
  <c r="AA37"/>
  <c r="AA39"/>
  <c r="AA41"/>
  <c r="AA43"/>
  <c r="AA45"/>
  <c r="AA47"/>
  <c r="AA49"/>
  <c r="AA51"/>
  <c r="AA53"/>
  <c r="AA55"/>
  <c r="AA57"/>
  <c r="AA59"/>
  <c r="AA61"/>
  <c r="AA63"/>
  <c r="AA65"/>
  <c r="AA67"/>
  <c r="AA69"/>
  <c r="AA71"/>
  <c r="AA73"/>
  <c r="AA75"/>
  <c r="AA77"/>
  <c r="AA79"/>
  <c r="AA81"/>
  <c r="AA83"/>
  <c r="AA85"/>
  <c r="AA87"/>
  <c r="AA89"/>
  <c r="AA91"/>
  <c r="AA93"/>
  <c r="AA95"/>
  <c r="AA97"/>
  <c r="AA99"/>
  <c r="AA101"/>
  <c r="AA103"/>
  <c r="AA105"/>
  <c r="AA107"/>
  <c r="AA109"/>
  <c r="AA111"/>
  <c r="AA113"/>
  <c r="AA115"/>
  <c r="AA117"/>
  <c r="AA119"/>
  <c r="AA121"/>
  <c r="AA123"/>
  <c r="AA125"/>
  <c r="AA127"/>
  <c r="AA129"/>
  <c r="AA131"/>
  <c r="AA133"/>
  <c r="AA135"/>
  <c r="AA137"/>
  <c r="AA139"/>
  <c r="AA141"/>
  <c r="AA143"/>
  <c r="AA145"/>
  <c r="AA147"/>
  <c r="AA149"/>
  <c r="AA151"/>
  <c r="AA153"/>
  <c r="AA155"/>
  <c r="AA157"/>
  <c r="AA159"/>
  <c r="AA161"/>
  <c r="AA163"/>
  <c r="AA165"/>
  <c r="AA167"/>
  <c r="AA169"/>
  <c r="AA171"/>
  <c r="AA173"/>
  <c r="AA175"/>
  <c r="AA177"/>
  <c r="AA179"/>
  <c r="AA181"/>
  <c r="AA183"/>
  <c r="AA185"/>
  <c r="AA187"/>
  <c r="AA189"/>
  <c r="AA191"/>
  <c r="AA193"/>
  <c r="AA195"/>
  <c r="AA197"/>
  <c r="AA199"/>
  <c r="AA201"/>
  <c r="AA1"/>
  <c r="AA2"/>
  <c r="AA4"/>
  <c r="AA6"/>
  <c r="AA8"/>
  <c r="AA10"/>
  <c r="AA12"/>
  <c r="AA14"/>
  <c r="AA16"/>
  <c r="AA18"/>
  <c r="AA20"/>
  <c r="AA22"/>
  <c r="AA24"/>
  <c r="AA26"/>
  <c r="AA28"/>
  <c r="AA30"/>
  <c r="AA32"/>
  <c r="AA34"/>
  <c r="AA36"/>
  <c r="AA38"/>
  <c r="AA40"/>
  <c r="AA42"/>
  <c r="AA44"/>
  <c r="AA46"/>
  <c r="AA48"/>
  <c r="AA50"/>
  <c r="AA52"/>
  <c r="AA54"/>
  <c r="AA56"/>
  <c r="AA58"/>
  <c r="AA60"/>
  <c r="AA62"/>
  <c r="AA64"/>
  <c r="AA66"/>
  <c r="AA68"/>
  <c r="AA70"/>
  <c r="AA72"/>
  <c r="AA74"/>
  <c r="AA76"/>
  <c r="AA78"/>
  <c r="AA80"/>
  <c r="AA82"/>
  <c r="AA84"/>
  <c r="AA86"/>
  <c r="AA88"/>
  <c r="AA90"/>
  <c r="AA92"/>
  <c r="AA94"/>
  <c r="AA96"/>
  <c r="AA98"/>
  <c r="AA100"/>
  <c r="AA102"/>
  <c r="AA104"/>
  <c r="AA106"/>
  <c r="AA108"/>
  <c r="AA110"/>
  <c r="AA112"/>
  <c r="AA114"/>
  <c r="AA116"/>
  <c r="AA118"/>
  <c r="AA120"/>
  <c r="AA122"/>
  <c r="AA124"/>
  <c r="AA126"/>
  <c r="AA128"/>
  <c r="AA130"/>
  <c r="AA132"/>
  <c r="AA134"/>
  <c r="AA136"/>
  <c r="AA138"/>
  <c r="AA140"/>
  <c r="AA142"/>
  <c r="AA144"/>
  <c r="AA146"/>
  <c r="AA148"/>
  <c r="AA150"/>
  <c r="AA152"/>
  <c r="AA154"/>
  <c r="AA156"/>
  <c r="AA158"/>
  <c r="AA160"/>
  <c r="AA162"/>
  <c r="AA164"/>
  <c r="AA166"/>
  <c r="AA168"/>
  <c r="AA170"/>
  <c r="AA172"/>
  <c r="AA174"/>
  <c r="AA176"/>
  <c r="AA178"/>
  <c r="AA180"/>
  <c r="AA182"/>
  <c r="AA184"/>
  <c r="AA186"/>
  <c r="AA188"/>
  <c r="AA190"/>
  <c r="AA192"/>
  <c r="AA194"/>
  <c r="AA196"/>
  <c r="AA198"/>
  <c r="AA200"/>
  <c r="AA202"/>
  <c r="E14"/>
  <c r="F27" i="3"/>
  <c r="E40"/>
  <c r="D40"/>
  <c r="E27"/>
  <c r="K16" i="4"/>
  <c r="K15"/>
  <c r="K14"/>
  <c r="AC4" i="3"/>
  <c r="C27" s="1"/>
  <c r="D27"/>
  <c r="E10" i="5"/>
  <c r="E6"/>
  <c r="G15" i="4"/>
  <c r="G5" i="3"/>
  <c r="L11"/>
  <c r="AF10"/>
  <c r="AF8"/>
  <c r="G4"/>
  <c r="D55"/>
  <c r="AB9"/>
  <c r="I20"/>
  <c r="C28"/>
  <c r="AB18"/>
  <c r="D60"/>
  <c r="AE17"/>
  <c r="AD19"/>
  <c r="AD15"/>
  <c r="AC15"/>
  <c r="AB20"/>
  <c r="AC18"/>
  <c r="AE16"/>
  <c r="AC17"/>
  <c r="AD17"/>
  <c r="AC16"/>
  <c r="AB15"/>
  <c r="AE15"/>
  <c r="AC19"/>
  <c r="AE20"/>
  <c r="AB19"/>
  <c r="AD20"/>
  <c r="AD18"/>
  <c r="AE19"/>
  <c r="AE18"/>
  <c r="AB17"/>
  <c r="AD16"/>
  <c r="AC20"/>
  <c r="AB16"/>
  <c r="D51" l="1"/>
  <c r="G27"/>
  <c r="G40"/>
  <c r="H67"/>
  <c r="AC8" s="1"/>
  <c r="AC9"/>
  <c r="J69" s="1"/>
  <c r="E5" i="4"/>
  <c r="E21" i="3"/>
  <c r="E20"/>
  <c r="AF13"/>
  <c r="M11"/>
  <c r="M10"/>
  <c r="AG13"/>
  <c r="AA14" i="5"/>
  <c r="F20" i="3"/>
  <c r="AB14" i="5"/>
  <c r="AB2" s="1"/>
  <c r="G20" i="3"/>
  <c r="AB13" i="5"/>
  <c r="AB1" s="1"/>
  <c r="AA13"/>
  <c r="B51" i="3"/>
  <c r="F51" s="1"/>
  <c r="C51"/>
  <c r="AA12" i="5"/>
  <c r="F5" i="3"/>
  <c r="E9" i="5"/>
  <c r="E5"/>
  <c r="F4" i="3"/>
  <c r="J4"/>
  <c r="C20"/>
  <c r="C22"/>
  <c r="C21"/>
  <c r="AA10" i="5"/>
  <c r="AA7"/>
  <c r="AA9"/>
  <c r="I35" i="3"/>
  <c r="H27"/>
  <c r="I67"/>
  <c r="H40"/>
  <c r="E51"/>
  <c r="D59"/>
  <c r="AC7" l="1"/>
  <c r="AD6"/>
  <c r="J67" s="1"/>
  <c r="M5" i="4"/>
  <c r="O4" s="1"/>
  <c r="AD5" i="3"/>
  <c r="K67" s="1"/>
  <c r="I14" i="12"/>
  <c r="G51" i="3"/>
  <c r="J27"/>
  <c r="N6" i="14"/>
  <c r="O6" s="1"/>
  <c r="AC5" i="3"/>
  <c r="AC6"/>
  <c r="C12" i="5"/>
  <c r="C40" i="3" l="1"/>
  <c r="B40"/>
  <c r="D9" i="4"/>
  <c r="I7" i="12" l="1"/>
  <c r="I5"/>
  <c r="J5" s="1"/>
  <c r="I40" i="3"/>
  <c r="AD14"/>
  <c r="I6" i="12"/>
  <c r="D20" i="3"/>
  <c r="E58" i="4" s="1"/>
  <c r="F9" i="15"/>
  <c r="G9" s="1"/>
  <c r="I10" i="12"/>
  <c r="AE13" i="3"/>
  <c r="AD13"/>
  <c r="K22" l="1"/>
  <c r="M27"/>
  <c r="L28"/>
  <c r="B43"/>
  <c r="K21"/>
  <c r="K20"/>
  <c r="I27"/>
  <c r="K18" i="15"/>
  <c r="G58" i="4"/>
  <c r="L27" i="3"/>
  <c r="L29"/>
  <c r="B46" l="1"/>
  <c r="L21" i="14"/>
</calcChain>
</file>

<file path=xl/comments1.xml><?xml version="1.0" encoding="utf-8"?>
<comments xmlns="http://schemas.openxmlformats.org/spreadsheetml/2006/main">
  <authors>
    <author>Thr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pouze informativní, většina bonusů a postihů je počítána automaticky</t>
        </r>
      </text>
    </comment>
  </commentList>
</comments>
</file>

<file path=xl/comments2.xml><?xml version="1.0" encoding="utf-8"?>
<comments xmlns="http://schemas.openxmlformats.org/spreadsheetml/2006/main">
  <authors>
    <author>Thr</author>
  </authors>
  <commentList>
    <comment ref="O10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Nutno vyplňovat ručně vzhledem k proměnlivé ceně v závislosti na třídě zboje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cena za bod stoupá v zavislosti na základu a počtu již investovaných bodů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rasový, ze skillu, whatever</t>
        </r>
      </text>
    </comment>
    <comment ref="E19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neni to primo bonus do obrany, ale prepocitava se to na bonus obratnosti</t>
        </r>
      </text>
    </comment>
    <comment ref="Q23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Nutno počítat ručně, zavisí na atributech, které se mění.. Druhý level navíc i sám na sobě</t>
        </r>
      </text>
    </comment>
    <comment ref="G24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pro ruční výpočet: vždycky se jedná o cenu za bod následující</t>
        </r>
      </text>
    </comment>
    <comment ref="B43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při výběru položky "-- Nože" se bonus počítá pro uplně všechny nože, konkrétní nože v seznamu nejsou</t>
        </r>
      </text>
    </comment>
  </commentList>
</comments>
</file>

<file path=xl/comments3.xml><?xml version="1.0" encoding="utf-8"?>
<comments xmlns="http://schemas.openxmlformats.org/spreadsheetml/2006/main">
  <authors>
    <author>Thr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nutno počítat ručně, základ se totiž mění v závislosti na atributech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za člověka se body násobí 1.5x</t>
        </r>
      </text>
    </comment>
  </commentList>
</comments>
</file>

<file path=xl/comments4.xml><?xml version="1.0" encoding="utf-8"?>
<comments xmlns="http://schemas.openxmlformats.org/spreadsheetml/2006/main">
  <authors>
    <author>Thr</author>
  </authors>
  <commentLis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nutno počítat ručně, zavisí na proměnných atributech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nutno počítat ručně, zavisí na atributech</t>
        </r>
      </text>
    </comment>
    <comment ref="C12" authorId="0">
      <text>
        <r>
          <rPr>
            <b/>
            <sz val="8"/>
            <color indexed="81"/>
            <rFont val="Tahoma"/>
            <charset val="1"/>
          </rPr>
          <t>Thr:</t>
        </r>
        <r>
          <rPr>
            <sz val="8"/>
            <color indexed="81"/>
            <rFont val="Tahoma"/>
            <charset val="1"/>
          </rPr>
          <t xml:space="preserve">
cena pouze přidané kategorie, změní se i aktuálně naučená, ale s tou se nepočítá</t>
        </r>
      </text>
    </comment>
  </commentList>
</comments>
</file>

<file path=xl/comments5.xml><?xml version="1.0" encoding="utf-8"?>
<comments xmlns="http://schemas.openxmlformats.org/spreadsheetml/2006/main">
  <authors>
    <author>Thr</author>
  </authors>
  <commentLis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cena bez úpravy za specializace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nepočítá se specializací vzdušné magie ani s ničím podobným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za základ s odečtem za specializace a různá vylepšení</t>
        </r>
      </text>
    </comment>
  </commentList>
</comments>
</file>

<file path=xl/comments6.xml><?xml version="1.0" encoding="utf-8"?>
<comments xmlns="http://schemas.openxmlformats.org/spreadsheetml/2006/main">
  <authors>
    <author>Thr</author>
  </authors>
  <commentLis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poslední největší jednorázové zranění</t>
        </r>
      </text>
    </comment>
    <comment ref="M9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za dotřel se plati -1% na zasah za metr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38"/>
          </rPr>
          <t>Thr:</t>
        </r>
        <r>
          <rPr>
            <sz val="9"/>
            <color indexed="81"/>
            <rFont val="Tahoma"/>
            <family val="2"/>
            <charset val="238"/>
          </rPr>
          <t xml:space="preserve">
Připočítává se sem i bonus za vrozený rys "Šermíř"</t>
        </r>
      </text>
    </comment>
    <comment ref="D62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proti tupým zbraním se nehazí</t>
        </r>
      </text>
    </comment>
    <comment ref="D65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pouze pro výpočet zranění pěstí, boxerem nebo kopem</t>
        </r>
      </text>
    </comment>
    <comment ref="E65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upravená o 1k10</t>
        </r>
      </text>
    </comment>
  </commentList>
</comments>
</file>

<file path=xl/comments7.xml><?xml version="1.0" encoding="utf-8"?>
<comments xmlns="http://schemas.openxmlformats.org/spreadsheetml/2006/main">
  <authors>
    <author>Thr</author>
  </authors>
  <commentList>
    <comment ref="G12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Nutno vyplňovat ručně vzhledem k proměnným atributům postavy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Rodný jazyk je zdarma</t>
        </r>
      </text>
    </comment>
    <comment ref="J18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maximální ze všech co postava má</t>
        </r>
      </text>
    </comment>
  </commentList>
</comments>
</file>

<file path=xl/comments8.xml><?xml version="1.0" encoding="utf-8"?>
<comments xmlns="http://schemas.openxmlformats.org/spreadsheetml/2006/main">
  <authors>
    <author>Thr</author>
  </authors>
  <commentList>
    <comment ref="K46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dodatečné zranění ohněm (1k6/2 životy) a šance na zapálení hořlavého materiálu (30% v kole), jestliže je pochodeň zapálená</t>
        </r>
      </text>
    </comment>
  </commentList>
</comments>
</file>

<file path=xl/comments9.xml><?xml version="1.0" encoding="utf-8"?>
<comments xmlns="http://schemas.openxmlformats.org/spreadsheetml/2006/main">
  <authors>
    <author>Thr</author>
  </authors>
  <commentList>
    <comment ref="N2" authorId="0">
      <text>
        <r>
          <rPr>
            <b/>
            <sz val="8"/>
            <color indexed="81"/>
            <rFont val="Tahoma"/>
            <family val="2"/>
            <charset val="238"/>
          </rPr>
          <t>Thr:</t>
        </r>
        <r>
          <rPr>
            <sz val="8"/>
            <color indexed="81"/>
            <rFont val="Tahoma"/>
            <family val="2"/>
            <charset val="238"/>
          </rPr>
          <t xml:space="preserve">
Ruka, ve které je štít držen, je kryta vždy</t>
        </r>
      </text>
    </comment>
  </commentList>
</comments>
</file>

<file path=xl/sharedStrings.xml><?xml version="1.0" encoding="utf-8"?>
<sst xmlns="http://schemas.openxmlformats.org/spreadsheetml/2006/main" count="1611" uniqueCount="893">
  <si>
    <t>Odolnost</t>
  </si>
  <si>
    <t>Síla</t>
  </si>
  <si>
    <t>Obratnost</t>
  </si>
  <si>
    <t>Inteligence</t>
  </si>
  <si>
    <t>Charisma</t>
  </si>
  <si>
    <t>Akční hoch</t>
  </si>
  <si>
    <t>Světaznalý</t>
  </si>
  <si>
    <t>Nenávist bohů</t>
  </si>
  <si>
    <t>Hyperaktivista</t>
  </si>
  <si>
    <t>Pěvec</t>
  </si>
  <si>
    <t>Střelné zbraně</t>
  </si>
  <si>
    <t>Šance</t>
  </si>
  <si>
    <t>Peníze</t>
  </si>
  <si>
    <t>DB</t>
  </si>
  <si>
    <t>Váha</t>
  </si>
  <si>
    <t>Cena</t>
  </si>
  <si>
    <t>Item</t>
  </si>
  <si>
    <t>Nosnost</t>
  </si>
  <si>
    <t>Staty</t>
  </si>
  <si>
    <t>Lesní elf</t>
  </si>
  <si>
    <t>Rasa</t>
  </si>
  <si>
    <t>Jméno</t>
  </si>
  <si>
    <t>Rasové schopnosti</t>
  </si>
  <si>
    <t>Cvičení zvířat</t>
  </si>
  <si>
    <t>Vnímavost</t>
  </si>
  <si>
    <t>Iniciativa</t>
  </si>
  <si>
    <t>Bojová</t>
  </si>
  <si>
    <t>Magická</t>
  </si>
  <si>
    <t>Základ</t>
  </si>
  <si>
    <t>Celkem</t>
  </si>
  <si>
    <t>Hlava</t>
  </si>
  <si>
    <t>Levá ruka</t>
  </si>
  <si>
    <t>Pravá ruka</t>
  </si>
  <si>
    <t>Počet</t>
  </si>
  <si>
    <t>Dlouhý luk</t>
  </si>
  <si>
    <t>Váha/ks</t>
  </si>
  <si>
    <t>Pěstní štítek</t>
  </si>
  <si>
    <t>Šaty</t>
  </si>
  <si>
    <t>Toulec</t>
  </si>
  <si>
    <t>Šíp</t>
  </si>
  <si>
    <t>Stav</t>
  </si>
  <si>
    <t>Zátěž</t>
  </si>
  <si>
    <t>Stamina</t>
  </si>
  <si>
    <t>Maximum</t>
  </si>
  <si>
    <t>Současně</t>
  </si>
  <si>
    <t>Nutno spát</t>
  </si>
  <si>
    <t>hodin do doplnění staminy</t>
  </si>
  <si>
    <t>Střelecká</t>
  </si>
  <si>
    <t>Typ</t>
  </si>
  <si>
    <t>Body</t>
  </si>
  <si>
    <t>Cena/celkem</t>
  </si>
  <si>
    <t>Váha celkem</t>
  </si>
  <si>
    <t>Zbraň</t>
  </si>
  <si>
    <t>Ruce</t>
  </si>
  <si>
    <t>Průraz</t>
  </si>
  <si>
    <t>Dolet</t>
  </si>
  <si>
    <t>Munice</t>
  </si>
  <si>
    <t>2k10</t>
  </si>
  <si>
    <t>Armor</t>
  </si>
  <si>
    <t>Třída zbroje</t>
  </si>
  <si>
    <t>Kvalita zbroje</t>
  </si>
  <si>
    <t>Štít</t>
  </si>
  <si>
    <t>Životy</t>
  </si>
  <si>
    <t>Zbroj</t>
  </si>
  <si>
    <t>Aktivní</t>
  </si>
  <si>
    <t>Pasivní</t>
  </si>
  <si>
    <t>Lovecký luk</t>
  </si>
  <si>
    <t>Trup</t>
  </si>
  <si>
    <t>Demič</t>
  </si>
  <si>
    <t>Expy</t>
  </si>
  <si>
    <t>cena</t>
  </si>
  <si>
    <t>Dýka</t>
  </si>
  <si>
    <t>2+1k6</t>
  </si>
  <si>
    <t>Bodec (šídlo, stileto)</t>
  </si>
  <si>
    <t>1+1k6</t>
  </si>
  <si>
    <t>Tlačná dýka (katar)</t>
  </si>
  <si>
    <t>4+1k6</t>
  </si>
  <si>
    <t>Lehká katana (tanto)</t>
  </si>
  <si>
    <t>Dlouhý nůž (kinžál)</t>
  </si>
  <si>
    <t>2k6</t>
  </si>
  <si>
    <t>Jehlový tesák (kris)</t>
  </si>
  <si>
    <t>Tesák</t>
  </si>
  <si>
    <t>Mačeta</t>
  </si>
  <si>
    <t>7+1k6</t>
  </si>
  <si>
    <t>Útok 2H</t>
  </si>
  <si>
    <t>Útok 1H</t>
  </si>
  <si>
    <t>Průraz 1H</t>
  </si>
  <si>
    <t>Průraz 2H</t>
  </si>
  <si>
    <t>Obrana 1H</t>
  </si>
  <si>
    <t>Obrana 2H</t>
  </si>
  <si>
    <t>Demič 1H</t>
  </si>
  <si>
    <t>Demič 2H</t>
  </si>
  <si>
    <t>Iniciativa 1H</t>
  </si>
  <si>
    <t>Iniciativa 2H</t>
  </si>
  <si>
    <t>Délka</t>
  </si>
  <si>
    <t>Kordík</t>
  </si>
  <si>
    <t>6+2k6</t>
  </si>
  <si>
    <t>Krátký meč (gladius)</t>
  </si>
  <si>
    <t>9+1k6</t>
  </si>
  <si>
    <t>Šavle (šamšír, tulwar)</t>
  </si>
  <si>
    <t>16+2k6</t>
  </si>
  <si>
    <t>Krátká  katana (wakizashi)</t>
  </si>
  <si>
    <t>5+2k6</t>
  </si>
  <si>
    <t>Kord (rapír)</t>
  </si>
  <si>
    <t>8+2k6</t>
  </si>
  <si>
    <t>Jedenapůlručák (bastard)</t>
  </si>
  <si>
    <t>16+1k6</t>
  </si>
  <si>
    <t>15+2k6</t>
  </si>
  <si>
    <t>Katana</t>
  </si>
  <si>
    <t>10+2k6</t>
  </si>
  <si>
    <t>13+2k6</t>
  </si>
  <si>
    <t>Široký meč (katzabalger)</t>
  </si>
  <si>
    <t>14+1k6</t>
  </si>
  <si>
    <t>14+1k10</t>
  </si>
  <si>
    <t>Těžká šavle (falchion)</t>
  </si>
  <si>
    <t>17+2k6</t>
  </si>
  <si>
    <t>Obouruční katana (dai-katana)</t>
  </si>
  <si>
    <t>14+2k6</t>
  </si>
  <si>
    <t>Obouruční meč</t>
  </si>
  <si>
    <t>21+1k6</t>
  </si>
  <si>
    <t>Plamenný dvouruční meč (flamberga)</t>
  </si>
  <si>
    <t>22+1k6</t>
  </si>
  <si>
    <t>1/2</t>
  </si>
  <si>
    <t>Sekyrka (tomahawk)</t>
  </si>
  <si>
    <t>10+1k6</t>
  </si>
  <si>
    <t>Jezdecká sekera</t>
  </si>
  <si>
    <t>12+2k6</t>
  </si>
  <si>
    <t>Nožová sekera (bhuj)</t>
  </si>
  <si>
    <t>11+1k10</t>
  </si>
  <si>
    <t>15+1k6</t>
  </si>
  <si>
    <t>Dřevorubecká sekera</t>
  </si>
  <si>
    <t>Válečná sekera</t>
  </si>
  <si>
    <t>19+1k6</t>
  </si>
  <si>
    <t>Dvoubřitá bojová sekera</t>
  </si>
  <si>
    <t>Vojenský krumpáč</t>
  </si>
  <si>
    <t>Obouruční sekera</t>
  </si>
  <si>
    <t>Srpovitá sekera</t>
  </si>
  <si>
    <t>Tyčovitá sekera (lochaberka)</t>
  </si>
  <si>
    <t>Dvoubřitá obouruční sekera</t>
  </si>
  <si>
    <t>Dřevcová sekera (berdycha)</t>
  </si>
  <si>
    <t>20+2k6</t>
  </si>
  <si>
    <t>Průměr síly a obratnosti</t>
  </si>
  <si>
    <t>Bič</t>
  </si>
  <si>
    <t>1k6</t>
  </si>
  <si>
    <t>Jednoruční cep (nunchaky)</t>
  </si>
  <si>
    <t>Obušek (tonfa)</t>
  </si>
  <si>
    <t>3+1k6</t>
  </si>
  <si>
    <t>Řetěz</t>
  </si>
  <si>
    <t>Kyj</t>
  </si>
  <si>
    <t>4+2k6</t>
  </si>
  <si>
    <t>Řemdih</t>
  </si>
  <si>
    <t>6+1k6</t>
  </si>
  <si>
    <t>Palcát</t>
  </si>
  <si>
    <t>4+1k10</t>
  </si>
  <si>
    <t>Palice</t>
  </si>
  <si>
    <t>7+2k6</t>
  </si>
  <si>
    <t>Bojové kladivo</t>
  </si>
  <si>
    <t>6+1k10</t>
  </si>
  <si>
    <t>Biják</t>
  </si>
  <si>
    <t>7+1k10</t>
  </si>
  <si>
    <t>Jitřenkový palcát</t>
  </si>
  <si>
    <t>12+1k6</t>
  </si>
  <si>
    <t>Ostnitý řemdih (jitřenka)</t>
  </si>
  <si>
    <t>Ostnitý kyj</t>
  </si>
  <si>
    <t>23+1k6</t>
  </si>
  <si>
    <t>Oštěp dlouhý</t>
  </si>
  <si>
    <t>5+1k10</t>
  </si>
  <si>
    <t>Bojové vidle</t>
  </si>
  <si>
    <t>Bojová hůl</t>
  </si>
  <si>
    <t>Oboustranné kopí</t>
  </si>
  <si>
    <t>8+1k6</t>
  </si>
  <si>
    <t>Sudlice</t>
  </si>
  <si>
    <t>Naginata</t>
  </si>
  <si>
    <t>Kopí</t>
  </si>
  <si>
    <t>11+1k6</t>
  </si>
  <si>
    <t>Bojová kosa</t>
  </si>
  <si>
    <t>Dřevec</t>
  </si>
  <si>
    <t>Partyzána</t>
  </si>
  <si>
    <t>Trojzubec</t>
  </si>
  <si>
    <t>Halapartna</t>
  </si>
  <si>
    <t>Přesnost</t>
  </si>
  <si>
    <t>Krátký luk</t>
  </si>
  <si>
    <t>Reflexní luk</t>
  </si>
  <si>
    <t>Vyztužený luk</t>
  </si>
  <si>
    <t>Skládaný luk</t>
  </si>
  <si>
    <t>Kuličková kuše</t>
  </si>
  <si>
    <t>Opakovací kuše</t>
  </si>
  <si>
    <t>Kuše</t>
  </si>
  <si>
    <t>Skládaná kuše</t>
  </si>
  <si>
    <t>Krátká foukačka</t>
  </si>
  <si>
    <t>Dlouhá foukačka</t>
  </si>
  <si>
    <t>Lovecký prak</t>
  </si>
  <si>
    <t>Bojový prak</t>
  </si>
  <si>
    <t>zranění</t>
  </si>
  <si>
    <t>Šíp s ozuby</t>
  </si>
  <si>
    <t>2k10*</t>
  </si>
  <si>
    <t>10+2k10</t>
  </si>
  <si>
    <t>10+2k10*</t>
  </si>
  <si>
    <t>9+2k6</t>
  </si>
  <si>
    <t>Cena (C)</t>
  </si>
  <si>
    <t>Kámen</t>
  </si>
  <si>
    <t>Balvan</t>
  </si>
  <si>
    <t>Vrhací kyj</t>
  </si>
  <si>
    <t>Bumerang</t>
  </si>
  <si>
    <t>Láhev</t>
  </si>
  <si>
    <t>Vrhací nůž</t>
  </si>
  <si>
    <t>1k10</t>
  </si>
  <si>
    <t>Bojová šipka</t>
  </si>
  <si>
    <t>Vrhací kruh (chakram)</t>
  </si>
  <si>
    <t>Oštěp krátký</t>
  </si>
  <si>
    <t>3+2k6</t>
  </si>
  <si>
    <t>Vrhací sekerka (franciska)</t>
  </si>
  <si>
    <t>Hvězdice</t>
  </si>
  <si>
    <t>Tomahavk</t>
  </si>
  <si>
    <t>Útok</t>
  </si>
  <si>
    <t>3 až 4</t>
  </si>
  <si>
    <t>1k6*</t>
  </si>
  <si>
    <t>Dle ceníku</t>
  </si>
  <si>
    <t>Klacek (alternativní zbraň)</t>
  </si>
  <si>
    <t>Sklenice půllitr  (alternativní zbraň)</t>
  </si>
  <si>
    <t>Pochodeň  (alternativní zbraň)</t>
  </si>
  <si>
    <t>Židle (alternativní zbraň)</t>
  </si>
  <si>
    <t>Prkno (alternativní zbraň)</t>
  </si>
  <si>
    <t>5 až 8</t>
  </si>
  <si>
    <t>?</t>
  </si>
  <si>
    <t>Vidle (alternativní zbraň)</t>
  </si>
  <si>
    <t>Kosa (alternativní zbraň)</t>
  </si>
  <si>
    <t>5+1k6</t>
  </si>
  <si>
    <t>2+1k10</t>
  </si>
  <si>
    <t>8+2K6</t>
  </si>
  <si>
    <t>Krumpáč (alternativní zbraň)</t>
  </si>
  <si>
    <t>Hrábě (alternativní zbraň)</t>
  </si>
  <si>
    <t>Rýč (alternativní zbraň)</t>
  </si>
  <si>
    <t>Lopata (alternativní zbraň)</t>
  </si>
  <si>
    <t>Motyka (alternativní zbraň)</t>
  </si>
  <si>
    <t>Hák námořnický (alternativní zbraň)</t>
  </si>
  <si>
    <t>Srp (alternativní zbraň)</t>
  </si>
  <si>
    <t>Pohrabáč dlouhý (alternativní zbraň)</t>
  </si>
  <si>
    <t>Pohrabáč krátký (alternativní zbraň)</t>
  </si>
  <si>
    <t>Nic</t>
  </si>
  <si>
    <t>Prošívané šaty</t>
  </si>
  <si>
    <t>Kožená zbroj</t>
  </si>
  <si>
    <t>Pobitá kožená zbroj</t>
  </si>
  <si>
    <t>Kroužková zbroj</t>
  </si>
  <si>
    <t>Šupinové brnění</t>
  </si>
  <si>
    <t>Destičková zbroj</t>
  </si>
  <si>
    <t>Plátové brnění</t>
  </si>
  <si>
    <t>Kroužková oplátovaná</t>
  </si>
  <si>
    <t>Turnajová zbroj</t>
  </si>
  <si>
    <t>Kategorie</t>
  </si>
  <si>
    <t>Iniciativa / trénink</t>
  </si>
  <si>
    <t>Cena / hlava</t>
  </si>
  <si>
    <t>Cena / 1 ruka</t>
  </si>
  <si>
    <t>Cena / tělo</t>
  </si>
  <si>
    <t>Cena / 2 nohy</t>
  </si>
  <si>
    <t>Kvalita zbroje / trénink</t>
  </si>
  <si>
    <t>Puklíř</t>
  </si>
  <si>
    <t>Dřevěný štít</t>
  </si>
  <si>
    <t>Okovaný štít</t>
  </si>
  <si>
    <t>Kovový štít</t>
  </si>
  <si>
    <t>Bitevní štít</t>
  </si>
  <si>
    <t>Pavéza</t>
  </si>
  <si>
    <t>Obrana</t>
  </si>
  <si>
    <t>Útok / trénink</t>
  </si>
  <si>
    <t>1-2</t>
  </si>
  <si>
    <t>1-3</t>
  </si>
  <si>
    <t>1-4</t>
  </si>
  <si>
    <t>1-5</t>
  </si>
  <si>
    <t>1-6</t>
  </si>
  <si>
    <t>2-7</t>
  </si>
  <si>
    <t>2-6</t>
  </si>
  <si>
    <t>2-8</t>
  </si>
  <si>
    <t>2-10</t>
  </si>
  <si>
    <t>2-12</t>
  </si>
  <si>
    <t>4-14</t>
  </si>
  <si>
    <t>Obrana / trénink</t>
  </si>
  <si>
    <t>Validita</t>
  </si>
  <si>
    <t>1H</t>
  </si>
  <si>
    <t>2H</t>
  </si>
  <si>
    <t>Demič / trénink</t>
  </si>
  <si>
    <t>Nohy</t>
  </si>
  <si>
    <t>Lehký boxer</t>
  </si>
  <si>
    <t>Trnitý boxer</t>
  </si>
  <si>
    <t>Těžký boxer</t>
  </si>
  <si>
    <t>Tygří zuby</t>
  </si>
  <si>
    <t>Zranění</t>
  </si>
  <si>
    <t>Pravák</t>
  </si>
  <si>
    <t>Levák</t>
  </si>
  <si>
    <t>Šipka</t>
  </si>
  <si>
    <t>Šipka s ozuby</t>
  </si>
  <si>
    <t>Šipka - tříštivá</t>
  </si>
  <si>
    <t>Olověná kulička</t>
  </si>
  <si>
    <t>Šíp - tříštivý</t>
  </si>
  <si>
    <t>Aktivní zbraň(e)</t>
  </si>
  <si>
    <t>Útok (přesnost)</t>
  </si>
  <si>
    <t>Aktivní štít</t>
  </si>
  <si>
    <t>-----</t>
  </si>
  <si>
    <t>Nože</t>
  </si>
  <si>
    <t>Meče</t>
  </si>
  <si>
    <t>Boxery</t>
  </si>
  <si>
    <t>Sekery</t>
  </si>
  <si>
    <t>útok L</t>
  </si>
  <si>
    <t>útok R</t>
  </si>
  <si>
    <t>Na předloktí</t>
  </si>
  <si>
    <t>Chráněno štítem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</si>
  <si>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- Ozuby na hlavici šípů a šipek zajišťují nesnadné a nebezpečné vytažení projektilu z rány. Prosté vytržení způsobí dodatečné zranění za 2k6 životů a trvá 2-4 kola. Odbornější přístup za užití Ošetřování zabere 4-9 kol a v případě úspěšného testu dovednosti se dodatečné zranění sníží na 1k6 životů. Za pomoci Léčení zranění (1 směna) lze dodatečné zranění zcela anulovat.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</si>
  <si>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Používání tříštivých šípů a šipek se ve většině zemí světa považuje za hrdelní zločin. Tyto projektily se při dopadu na cíl rozštěpí a tak nejsou dále použitelné.</t>
    </r>
  </si>
  <si>
    <t>demič R / korekce / munice</t>
  </si>
  <si>
    <t>demič L / korekce / munice</t>
  </si>
  <si>
    <t>15+2k10*</t>
  </si>
  <si>
    <t>5+2k10*</t>
  </si>
  <si>
    <t>demič Š / korekce</t>
  </si>
  <si>
    <t>inic L</t>
  </si>
  <si>
    <t>inic R</t>
  </si>
  <si>
    <t>Postih / nosnost</t>
  </si>
  <si>
    <t>Meče - krátké</t>
  </si>
  <si>
    <t>Tupé zbraně - střední</t>
  </si>
  <si>
    <t>Tupé zbraně - lehké</t>
  </si>
  <si>
    <t>Sekery - těžké</t>
  </si>
  <si>
    <t>Sekery - střední</t>
  </si>
  <si>
    <t>Sekery - lehké</t>
  </si>
  <si>
    <t>Meče - těžké</t>
  </si>
  <si>
    <t>Meče - střední</t>
  </si>
  <si>
    <t>Tupé zbraně - těžké</t>
  </si>
  <si>
    <t>Tyčové zbraně - lehké</t>
  </si>
  <si>
    <t>Tyčové zbraně - střední</t>
  </si>
  <si>
    <t>Tyčové zbraně - těžké</t>
  </si>
  <si>
    <t>Střelné zbraně - luky</t>
  </si>
  <si>
    <t>Střelné zbraně - kuše</t>
  </si>
  <si>
    <t>Střelné zbraně - ostatní</t>
  </si>
  <si>
    <t>Vrhací zbraně - tupé</t>
  </si>
  <si>
    <t>Vrhací zbraně - ostré</t>
  </si>
  <si>
    <t>Vrhací zbraně - bojové</t>
  </si>
  <si>
    <t>Copper</t>
  </si>
  <si>
    <t>Silver</t>
  </si>
  <si>
    <t>Gold</t>
  </si>
  <si>
    <t>Cena/bod</t>
  </si>
  <si>
    <t>Délka zbraně</t>
  </si>
  <si>
    <t>-----1</t>
  </si>
  <si>
    <t>-----2</t>
  </si>
  <si>
    <t>Obrana beze zbraně</t>
  </si>
  <si>
    <t>Štíty</t>
  </si>
  <si>
    <t>Šípy</t>
  </si>
  <si>
    <t>Šipky</t>
  </si>
  <si>
    <t>Kuličky</t>
  </si>
  <si>
    <t>Kop</t>
  </si>
  <si>
    <t>Zbraňe / holé ruce</t>
  </si>
  <si>
    <t>Úder zbraní / štítem / pěstí</t>
  </si>
  <si>
    <t>Typ útoku:</t>
  </si>
  <si>
    <t>Pravá / levá ruka</t>
  </si>
  <si>
    <t>průraz R / moznost branit se vrhu</t>
  </si>
  <si>
    <t>průraz L / moznost branit se vrhu</t>
  </si>
  <si>
    <t>Zbroj nepřítele</t>
  </si>
  <si>
    <t>Vrh zbraně (levá ruka)</t>
  </si>
  <si>
    <t>Vrh zbraně (pravá ruka)</t>
  </si>
  <si>
    <t>obrana R / korekce vrhu R</t>
  </si>
  <si>
    <t>obrana L / korekce vrhu L</t>
  </si>
  <si>
    <t>inic A</t>
  </si>
  <si>
    <t>A ruka R: kat/inic</t>
  </si>
  <si>
    <t>A ruka L: kat/inic</t>
  </si>
  <si>
    <t>A hlava: kat/inic</t>
  </si>
  <si>
    <t>A trup: kat/inic</t>
  </si>
  <si>
    <t>A nohy: kat/inic</t>
  </si>
  <si>
    <t>inic mag korekce</t>
  </si>
  <si>
    <t>inic korekce staty zbran R</t>
  </si>
  <si>
    <t>inic korekce staty zbran L</t>
  </si>
  <si>
    <t>sila / obr</t>
  </si>
  <si>
    <t>inic korekce staty stit</t>
  </si>
  <si>
    <t>Pravá noha</t>
  </si>
  <si>
    <t>Levá noha</t>
  </si>
  <si>
    <t>Celková šance</t>
  </si>
  <si>
    <t>Cena / základ</t>
  </si>
  <si>
    <t>Cena / bod</t>
  </si>
  <si>
    <t>Cena / celkem</t>
  </si>
  <si>
    <t>Bonus, postih</t>
  </si>
  <si>
    <t>Moudrost</t>
  </si>
  <si>
    <t>Člověk</t>
  </si>
  <si>
    <t>Amazonka</t>
  </si>
  <si>
    <t>Barbar</t>
  </si>
  <si>
    <t>Vznešený elf</t>
  </si>
  <si>
    <t>Temný elf</t>
  </si>
  <si>
    <t>Trpaslík</t>
  </si>
  <si>
    <t>Gnóm</t>
  </si>
  <si>
    <t>Draken</t>
  </si>
  <si>
    <t>Troll</t>
  </si>
  <si>
    <t>Hobit</t>
  </si>
  <si>
    <t>Pixie</t>
  </si>
  <si>
    <t>Kentaur</t>
  </si>
  <si>
    <t>Kobold</t>
  </si>
  <si>
    <t>Dryáda</t>
  </si>
  <si>
    <t>Rasový bonus</t>
  </si>
  <si>
    <t>Postih/únava, přetížení</t>
  </si>
  <si>
    <t>Postih/zbraň, typ útoku</t>
  </si>
  <si>
    <t>Postih/chybějící staty</t>
  </si>
  <si>
    <t>Postih/armor</t>
  </si>
  <si>
    <t>Postih/štít</t>
  </si>
  <si>
    <t>Obecný</t>
  </si>
  <si>
    <t>Rasový bonus / postih</t>
  </si>
  <si>
    <t>Dovednosti / znalosti / schopnosti</t>
  </si>
  <si>
    <t>Tupé zbraně</t>
  </si>
  <si>
    <t>Tyčové zbraně</t>
  </si>
  <si>
    <t>Vrhací zbraně</t>
  </si>
  <si>
    <t>Cena / level</t>
  </si>
  <si>
    <t>Bonus / útok</t>
  </si>
  <si>
    <t>Bonus / obrana</t>
  </si>
  <si>
    <t>Bonus / průraz</t>
  </si>
  <si>
    <t>Bonus / zranění</t>
  </si>
  <si>
    <t>Zákl</t>
  </si>
  <si>
    <t>N/A</t>
  </si>
  <si>
    <t>Vrhací dýka</t>
  </si>
  <si>
    <t>Vrhací kyj velký</t>
  </si>
  <si>
    <t>Vrhací kopí</t>
  </si>
  <si>
    <t>Vrhací krátký meč</t>
  </si>
  <si>
    <t>Vrhací trojzubec</t>
  </si>
  <si>
    <t>Vrhací dlouhý oštěp</t>
  </si>
  <si>
    <t>Výška</t>
  </si>
  <si>
    <t>Věk</t>
  </si>
  <si>
    <t>Modifikátor</t>
  </si>
  <si>
    <t>Ras. max</t>
  </si>
  <si>
    <t>Muž</t>
  </si>
  <si>
    <t>Žena</t>
  </si>
  <si>
    <t>Pohlaví</t>
  </si>
  <si>
    <t>Bonus za skilly se zbraní</t>
  </si>
  <si>
    <t>Boj beze zbraně</t>
  </si>
  <si>
    <t>Level</t>
  </si>
  <si>
    <t>Cena/level</t>
  </si>
  <si>
    <t>Útok / obrana</t>
  </si>
  <si>
    <t>Obr pocitana</t>
  </si>
  <si>
    <t>Kolik částí těla štít pojme</t>
  </si>
  <si>
    <t>Základní šance</t>
  </si>
  <si>
    <t>Obecné</t>
  </si>
  <si>
    <t>Pasivní magická odolnost</t>
  </si>
  <si>
    <t>Dovednosti se zbraněmi</t>
  </si>
  <si>
    <t>1. level dovednosti</t>
  </si>
  <si>
    <t>2. level dovednosti</t>
  </si>
  <si>
    <t>3. level dovednosti</t>
  </si>
  <si>
    <t>Jazyky</t>
  </si>
  <si>
    <t>Skok</t>
  </si>
  <si>
    <t>Pád</t>
  </si>
  <si>
    <t>Do výšky</t>
  </si>
  <si>
    <t>Běh</t>
  </si>
  <si>
    <t>Poškození</t>
  </si>
  <si>
    <t>inic proc/stat unava // nosnost</t>
  </si>
  <si>
    <t xml:space="preserve">Postih / únava </t>
  </si>
  <si>
    <t>Kapsy, ruce, tělo, opasek, ...</t>
  </si>
  <si>
    <t>Batoh, pytel, vak, nůše, ...</t>
  </si>
  <si>
    <t>Dolet / dostřel zbraně</t>
  </si>
  <si>
    <t>bonus skill R 1.st: utok, obrana, pruraz, zraneni</t>
  </si>
  <si>
    <t>bonus skill R 2.st: utok, obrana, pruraz, zraneni</t>
  </si>
  <si>
    <t>bonus skill R 3.st: utok, obrana, pruraz, zraneni</t>
  </si>
  <si>
    <t>bonus skill L 1.st: utok, obrana, pruraz, zraneni</t>
  </si>
  <si>
    <t>bonus skill L 2.st: utok, obrana, pruraz, zraneni</t>
  </si>
  <si>
    <t>bonus skill L 3.st: utok, obrana, pruraz, zraneni</t>
  </si>
  <si>
    <t>Seznam zbrani - vsech</t>
  </si>
  <si>
    <t>Seznam zbrani - upgradovatelnych</t>
  </si>
  <si>
    <t>-- Nože</t>
  </si>
  <si>
    <t>Dovednost</t>
  </si>
  <si>
    <t>Chůze</t>
  </si>
  <si>
    <t>Sprint</t>
  </si>
  <si>
    <t>Rychlý běh</t>
  </si>
  <si>
    <t>Klus</t>
  </si>
  <si>
    <t>Spotřeba staminy</t>
  </si>
  <si>
    <t>2 za kolo</t>
  </si>
  <si>
    <t>1 za minutu</t>
  </si>
  <si>
    <t>1 za 2 minuty</t>
  </si>
  <si>
    <t>1 za 20 minut</t>
  </si>
  <si>
    <t>Počet metrů</t>
  </si>
  <si>
    <t>Naložení</t>
  </si>
  <si>
    <t>S rozeběhem</t>
  </si>
  <si>
    <t>Z místa</t>
  </si>
  <si>
    <t>Cena za body / celkem</t>
  </si>
  <si>
    <t>Kontrolovaný</t>
  </si>
  <si>
    <t>Nekontrolovaný</t>
  </si>
  <si>
    <t>Základ dmg</t>
  </si>
  <si>
    <t>Dolet (m)</t>
  </si>
  <si>
    <t>Dostřel (m)</t>
  </si>
  <si>
    <t>Celkem dmg</t>
  </si>
  <si>
    <t>Úprava</t>
  </si>
  <si>
    <t>Rozeběh (m)</t>
  </si>
  <si>
    <t>Omezení pohybu</t>
  </si>
  <si>
    <t>Prvotní kategorie</t>
  </si>
  <si>
    <t>krátké</t>
  </si>
  <si>
    <t>střední</t>
  </si>
  <si>
    <t>těžké</t>
  </si>
  <si>
    <t>lehké</t>
  </si>
  <si>
    <t>tupé</t>
  </si>
  <si>
    <t>ostré</t>
  </si>
  <si>
    <t>bojové</t>
  </si>
  <si>
    <t>Postih / zranění</t>
  </si>
  <si>
    <t>Postihy</t>
  </si>
  <si>
    <t>Výdrž</t>
  </si>
  <si>
    <t>Šance na druhý dech</t>
  </si>
  <si>
    <t>Potom výdrž v bezvědomí</t>
  </si>
  <si>
    <t>Vstávání</t>
  </si>
  <si>
    <t>Kat. zbroje</t>
  </si>
  <si>
    <t>Postih do obrany při vstávání</t>
  </si>
  <si>
    <t>Obrana v leže</t>
  </si>
  <si>
    <t>Doba postihu</t>
  </si>
  <si>
    <t>Bodné / sečné</t>
  </si>
  <si>
    <t>Tupou zbraní</t>
  </si>
  <si>
    <t>Magické</t>
  </si>
  <si>
    <t>do ošetření</t>
  </si>
  <si>
    <t>Jedem</t>
  </si>
  <si>
    <t>doba působení jedu</t>
  </si>
  <si>
    <t>zraneni postih</t>
  </si>
  <si>
    <t>* Tupé zbraně neproráží (rovnou zraňují), ale od zranění jimi způsobených se odečítá polovina zbroje.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</si>
  <si>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minimální zranění zbrani nebo stitem je 0-1</t>
    </r>
  </si>
  <si>
    <t>Iniciace</t>
  </si>
  <si>
    <t>Mana</t>
  </si>
  <si>
    <t>Úspěch na seslání kouzla</t>
  </si>
  <si>
    <t>Maximální</t>
  </si>
  <si>
    <t>Současná</t>
  </si>
  <si>
    <t>Kouzla</t>
  </si>
  <si>
    <t>Zapamatovaná kouzla</t>
  </si>
  <si>
    <t>Maximálního stupně</t>
  </si>
  <si>
    <t>Opakování kouzel</t>
  </si>
  <si>
    <t>dní</t>
  </si>
  <si>
    <t>Postih</t>
  </si>
  <si>
    <t>+1k10</t>
  </si>
  <si>
    <t>dle krvácení pokud krvácí</t>
  </si>
  <si>
    <t>* postihy se ruší při hodu na Potlačení bolesti</t>
  </si>
  <si>
    <t>Oheň</t>
  </si>
  <si>
    <t>Voda</t>
  </si>
  <si>
    <t>Země</t>
  </si>
  <si>
    <t>Vzduch</t>
  </si>
  <si>
    <t>Energie</t>
  </si>
  <si>
    <t>Nekromancie</t>
  </si>
  <si>
    <t>1. je zdarma</t>
  </si>
  <si>
    <t>Seslání na vyšším stupni</t>
  </si>
  <si>
    <t>Stupeň kouzla</t>
  </si>
  <si>
    <t>Specializace</t>
  </si>
  <si>
    <t>Psychika</t>
  </si>
  <si>
    <t>Základní cena / DB</t>
  </si>
  <si>
    <t>* Magie je složitá záležitost, udělal jsem tu jakýsi základ... ale bez pravidel u ruky na to nesahejte</t>
  </si>
  <si>
    <t>Neopakováno</t>
  </si>
  <si>
    <t>Název</t>
  </si>
  <si>
    <t>Postih k vyvolání</t>
  </si>
  <si>
    <t>Snížení many kouzla</t>
  </si>
  <si>
    <t>Cena za snížení many</t>
  </si>
  <si>
    <t>Utraceno DB / celkem</t>
  </si>
  <si>
    <t>Zlepšení za maximálně</t>
  </si>
  <si>
    <t>Kyslík aneb 2 hodiny BK</t>
  </si>
  <si>
    <t>Ostatní</t>
  </si>
  <si>
    <t>Magie</t>
  </si>
  <si>
    <t>Skilly</t>
  </si>
  <si>
    <t>Atributy</t>
  </si>
  <si>
    <t>Útraty</t>
  </si>
  <si>
    <t>Change log</t>
  </si>
  <si>
    <t>v0.8b</t>
  </si>
  <si>
    <t>v0.8.1b</t>
  </si>
  <si>
    <t>Obecná řeč</t>
  </si>
  <si>
    <t>Kryté části těla</t>
  </si>
  <si>
    <t>1 za kolo</t>
  </si>
  <si>
    <t>v0.8.2b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</si>
  <si>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při boji beze zbraně je záporné zranění bráno jako dmg na danou část svého těla (dáno rozdílem zbrojí)</t>
    </r>
  </si>
  <si>
    <t>v0.8.7b</t>
  </si>
  <si>
    <t>Vrh zbrane skill, utok, pruraz, zraneni</t>
  </si>
  <si>
    <t>Vrozené rysy</t>
  </si>
  <si>
    <t>Magicky nadaný</t>
  </si>
  <si>
    <t>Tvrdá nátura</t>
  </si>
  <si>
    <t>Pyroman</t>
  </si>
  <si>
    <t>Rychlík</t>
  </si>
  <si>
    <t>Svůdce</t>
  </si>
  <si>
    <t>Štístko</t>
  </si>
  <si>
    <t>Jedlík</t>
  </si>
  <si>
    <t>Věštec</t>
  </si>
  <si>
    <t>Likvidátor</t>
  </si>
  <si>
    <t>Simulant</t>
  </si>
  <si>
    <t>Závislák</t>
  </si>
  <si>
    <t>Šikula</t>
  </si>
  <si>
    <t>Exorcista</t>
  </si>
  <si>
    <t>Šermíř</t>
  </si>
  <si>
    <t>Hrochokožec</t>
  </si>
  <si>
    <t>Pyrotechnik</t>
  </si>
  <si>
    <t>Herec</t>
  </si>
  <si>
    <t>Mohutný</t>
  </si>
  <si>
    <t>Řečník</t>
  </si>
  <si>
    <t>Hudebník</t>
  </si>
  <si>
    <t>Bystrozraký</t>
  </si>
  <si>
    <t>Silná pěst</t>
  </si>
  <si>
    <t>Optimista</t>
  </si>
  <si>
    <t>Manový magnet</t>
  </si>
  <si>
    <t>Velký alchimista</t>
  </si>
  <si>
    <t>Žebrák</t>
  </si>
  <si>
    <t>Rasista</t>
  </si>
  <si>
    <t>Botanik</t>
  </si>
  <si>
    <t>Pesimista</t>
  </si>
  <si>
    <t>Piják</t>
  </si>
  <si>
    <t>Alergie na magii</t>
  </si>
  <si>
    <t>Magický antitalent</t>
  </si>
  <si>
    <t>Krátkozraký</t>
  </si>
  <si>
    <t>Střízlík</t>
  </si>
  <si>
    <t>Želva</t>
  </si>
  <si>
    <t>Ostrostřelec</t>
  </si>
  <si>
    <t>Smolař</t>
  </si>
  <si>
    <t>Nosič</t>
  </si>
  <si>
    <t>Spáč</t>
  </si>
  <si>
    <t>Učenlivý</t>
  </si>
  <si>
    <t>Nervák</t>
  </si>
  <si>
    <t>Šilhavec</t>
  </si>
  <si>
    <t>Šlechtic</t>
  </si>
  <si>
    <t>Strašpytel</t>
  </si>
  <si>
    <t>Berserk</t>
  </si>
  <si>
    <t>Podvodník</t>
  </si>
  <si>
    <t>Slabčák</t>
  </si>
  <si>
    <t>Flegmatik</t>
  </si>
  <si>
    <t>Agresor</t>
  </si>
  <si>
    <t>Hluchoň</t>
  </si>
  <si>
    <t>Obouručák</t>
  </si>
  <si>
    <t>Gramlavec</t>
  </si>
  <si>
    <t>Hlučný</t>
  </si>
  <si>
    <t>Antitalent</t>
  </si>
  <si>
    <t>Koktala</t>
  </si>
  <si>
    <t>Antimág</t>
  </si>
  <si>
    <t>+3 iniciativa, +20% vnímavost</t>
  </si>
  <si>
    <t>-25% pasivní magická odolnost, +50% detekce magie</t>
  </si>
  <si>
    <t>-1DB k učení se kouzlům, iniciace a dalším stupňům</t>
  </si>
  <si>
    <t>Cena iniciace přepočítávána automaticky</t>
  </si>
  <si>
    <t>+20% zpěv</t>
  </si>
  <si>
    <t>+20% utužování, +20% potlačení bolesti</t>
  </si>
  <si>
    <t>20% na rozšiřování blízkého ohně do okolí</t>
  </si>
  <si>
    <t>Maximální rychlost běhu zvýšena o 10m/kolo</t>
  </si>
  <si>
    <t>+20% svádění</t>
  </si>
  <si>
    <t>Spotřeba jídla 3x větší, den bez jídla -5 iniciativa, útok a obrana, -10% dovednosti</t>
  </si>
  <si>
    <t>Kamkoliv se vrháš po hlavě</t>
  </si>
  <si>
    <t>Nemůžeš fatálně selhat</t>
  </si>
  <si>
    <t>Míváš vize o své budoucnosti až 30 minut vzdálené</t>
  </si>
  <si>
    <t>Při každém boji je nutno zvýšit sílu o 5 a pak jí zase snížit</t>
  </si>
  <si>
    <t>V boji (pouze v boji) síla +5</t>
  </si>
  <si>
    <t>Při ztrátě 1/2 aktivních životů padneš a skuhráš</t>
  </si>
  <si>
    <t>20% na vznik závislosti, 12 hodin abstinence -2 iniciativa, útok a obrana, -10% dovednosti</t>
  </si>
  <si>
    <t>+20% znalost rostlin, +5% míchání jedů a lektvarů</t>
  </si>
  <si>
    <t>+1DB k učení se kouzlům, iniciace a dalším stupňům</t>
  </si>
  <si>
    <t>Bez brýlí nevidíš na víc než 5m</t>
  </si>
  <si>
    <t>Síla a odolnost -5, inteligence a moudroust +5</t>
  </si>
  <si>
    <t>Iniciativa -3, obrana -2</t>
  </si>
  <si>
    <t>Střelné zbraně +20% na zásah</t>
  </si>
  <si>
    <t>Neúspěchy se mění ve fatální selhání, oblast 10m</t>
  </si>
  <si>
    <t>Všude a pořád usínáš</t>
  </si>
  <si>
    <t>Nová dovednost -5DB, vylepšení -1DB, pouze zbraně a dovednosti</t>
  </si>
  <si>
    <t>Buď útočíš nebo utíkáš, test na charisma rozhoduje</t>
  </si>
  <si>
    <t>-50% na dovednosti spojené se zrakem, -5 útok a obrana</t>
  </si>
  <si>
    <t>Při ztrátě 1/2 aktivních životů se z tebe stává berserk</t>
  </si>
  <si>
    <t>Bonusy a postihy je nutno přepočítat ručně podle pravidel</t>
  </si>
  <si>
    <t>+30% fixlování a převleky</t>
  </si>
  <si>
    <t>V boji (pouze v boji) síla -5</t>
  </si>
  <si>
    <t>Při každém boji je nutno snížit sílu o 5 a pak jí zase zvýšit</t>
  </si>
  <si>
    <t>Útok, průraz a zranění +2, obrana -6</t>
  </si>
  <si>
    <t>Na více než 5m nedoslýcháš</t>
  </si>
  <si>
    <t>50% že ti vypadne to, co zrovna držíš v ruce</t>
  </si>
  <si>
    <t>+15% na manuální činnosti, zvýšená obrana pro 2 zbraně</t>
  </si>
  <si>
    <t>Vše stojí o 1 DB více</t>
  </si>
  <si>
    <t>Koktáš, 40% na zkomolení verbální části magické formule</t>
  </si>
  <si>
    <t>Imunita na magii</t>
  </si>
  <si>
    <t>Pravděpodobnosti klesají na 1/2</t>
  </si>
  <si>
    <t>Proti nemrtvým a démonům +5 útok a zranění, +20% zastraš démony a nemrtvé</t>
  </si>
  <si>
    <t>Nože a meče +2 útok a obrana, ostatní -2,  učení mečů -1DB, nože +0DB, ostatní +1DB</t>
  </si>
  <si>
    <t>Utržené zranění -10%, zranění ohněm -50%</t>
  </si>
  <si>
    <t>+20% navigace</t>
  </si>
  <si>
    <t>+25% zranění s hořlavinami a výbušninami</t>
  </si>
  <si>
    <t>+15% kradení, převleky a fixlování</t>
  </si>
  <si>
    <t>+3 síla, +5 odolnost, -8 obratnost</t>
  </si>
  <si>
    <t>+20% hra na hudební nástroj</t>
  </si>
  <si>
    <t>+20% vnímavost, +50% prohlédnutí iluze</t>
  </si>
  <si>
    <t>Pěsti a boxery +5 zranění</t>
  </si>
  <si>
    <t>+30 many, regenerace 1 za směnu</t>
  </si>
  <si>
    <t>+15% na alchymii</t>
  </si>
  <si>
    <t>Efekt</t>
  </si>
  <si>
    <t>Poznámka</t>
  </si>
  <si>
    <t>Při zájmu můžu implementovat, ale jinak počítat ručně</t>
  </si>
  <si>
    <t>v0.9b</t>
  </si>
  <si>
    <t>Pravděpodobnosti přepočítávány automaticky (kromě záložky Other)</t>
  </si>
  <si>
    <t>Vícenásobné útoky</t>
  </si>
  <si>
    <t>Vícenásobná obrana</t>
  </si>
  <si>
    <t>Vícenásobné sesílání</t>
  </si>
  <si>
    <t>Akrobacie</t>
  </si>
  <si>
    <t>Cena základu</t>
  </si>
  <si>
    <t>Aktivní dovednosti a znalosti</t>
  </si>
  <si>
    <t>Bezpečný pád</t>
  </si>
  <si>
    <t>Detekce magie</t>
  </si>
  <si>
    <t>Detekce dobra a zla</t>
  </si>
  <si>
    <t>Fixlování</t>
  </si>
  <si>
    <t>Jezdectví</t>
  </si>
  <si>
    <t>Hra na hudební nástroj - strunné</t>
  </si>
  <si>
    <t>Hra na hudební nástroj - dechové</t>
  </si>
  <si>
    <t>Hra na hudební nástroj - bicí</t>
  </si>
  <si>
    <t>Kovářství a drátenictví</t>
  </si>
  <si>
    <t>Kreslení a malování</t>
  </si>
  <si>
    <t>Sochařství</t>
  </si>
  <si>
    <t>Kradení</t>
  </si>
  <si>
    <t>Léčení jedů</t>
  </si>
  <si>
    <t>Léčení nemocí</t>
  </si>
  <si>
    <t>Léčení zranění</t>
  </si>
  <si>
    <t>Let na magických předmětech</t>
  </si>
  <si>
    <t>Let na leteckých nestvůrách</t>
  </si>
  <si>
    <t>Mapování</t>
  </si>
  <si>
    <t>Navigace</t>
  </si>
  <si>
    <t>Nalezení nerovností</t>
  </si>
  <si>
    <t>Odezírání ze rtů</t>
  </si>
  <si>
    <t>Odhad kvality</t>
  </si>
  <si>
    <t>Odhad lidí</t>
  </si>
  <si>
    <t>Odhad tělesných vlastností</t>
  </si>
  <si>
    <t>Odhad zkušenosti</t>
  </si>
  <si>
    <t>Odstranění pasti</t>
  </si>
  <si>
    <t>Odzbrojení</t>
  </si>
  <si>
    <t>Omráčení</t>
  </si>
  <si>
    <t>Orientace</t>
  </si>
  <si>
    <t>Ošetřování</t>
  </si>
  <si>
    <t>Otevírání zámků</t>
  </si>
  <si>
    <t>Padělání</t>
  </si>
  <si>
    <t>Plachtění</t>
  </si>
  <si>
    <t>Plavání</t>
  </si>
  <si>
    <t>Běh / plavání</t>
  </si>
  <si>
    <t>Plížení</t>
  </si>
  <si>
    <t>Posunková řeč - obecná</t>
  </si>
  <si>
    <t>Posunková řeč - bojová</t>
  </si>
  <si>
    <t>Posunková řeč - zlodějská</t>
  </si>
  <si>
    <t>Potlačení bolesti</t>
  </si>
  <si>
    <t>Přesvědčování</t>
  </si>
  <si>
    <t>Převleky</t>
  </si>
  <si>
    <t>Slepá střelba</t>
  </si>
  <si>
    <t>Slepý boj</t>
  </si>
  <si>
    <t>Stopování</t>
  </si>
  <si>
    <t>Srážení šípů</t>
  </si>
  <si>
    <t>Svádění</t>
  </si>
  <si>
    <t>Šifrování</t>
  </si>
  <si>
    <t>Šití</t>
  </si>
  <si>
    <t>Tanec</t>
  </si>
  <si>
    <t>Tesařství a truhlářství</t>
  </si>
  <si>
    <t>Utužování</t>
  </si>
  <si>
    <t>Útěk z pout</t>
  </si>
  <si>
    <t>Vaření</t>
  </si>
  <si>
    <t>Výslech</t>
  </si>
  <si>
    <t>Zálesáctví</t>
  </si>
  <si>
    <t>Zastraš démony</t>
  </si>
  <si>
    <t>Zastraš draky</t>
  </si>
  <si>
    <t>Zastraš elementály</t>
  </si>
  <si>
    <t>Zastraš lesní zvěř</t>
  </si>
  <si>
    <t>Zastraš lykantropy</t>
  </si>
  <si>
    <t>Zastraš magické tvory</t>
  </si>
  <si>
    <t>Zastraš nemrtvé</t>
  </si>
  <si>
    <t>Zpěv</t>
  </si>
  <si>
    <t>Čtení a psaní</t>
  </si>
  <si>
    <t>Heraldika</t>
  </si>
  <si>
    <t>Odhad ceny</t>
  </si>
  <si>
    <t>Poznání jedů</t>
  </si>
  <si>
    <t>Poznání nemocí</t>
  </si>
  <si>
    <t>Znalost artefaktů</t>
  </si>
  <si>
    <t>Znalost draků</t>
  </si>
  <si>
    <t>Znalost hmyzu</t>
  </si>
  <si>
    <t>Znalost ještěrů</t>
  </si>
  <si>
    <t>Znalost humanoidů</t>
  </si>
  <si>
    <t>Znalost lektvarů</t>
  </si>
  <si>
    <t>Znalost lesních tvorů</t>
  </si>
  <si>
    <t>Znalost lykantropů</t>
  </si>
  <si>
    <t>Znalost magických tvorů</t>
  </si>
  <si>
    <t>Znalost nemrtvých</t>
  </si>
  <si>
    <t>Znalost příšer</t>
  </si>
  <si>
    <t>Znalost rostlin</t>
  </si>
  <si>
    <t>Znalost vodních tvorů</t>
  </si>
  <si>
    <t>Znalost zbraní</t>
  </si>
  <si>
    <t>Known bugs</t>
  </si>
  <si>
    <t>All</t>
  </si>
  <si>
    <t>+20% plížení</t>
  </si>
  <si>
    <r>
      <t>+10% kradení, fixlování, kovářství,</t>
    </r>
    <r>
      <rPr>
        <sz val="11"/>
        <color theme="1"/>
        <rFont val="Calibri"/>
        <family val="2"/>
        <charset val="238"/>
        <scheme val="minor"/>
      </rPr>
      <t xml:space="preserve"> odstranění pasti, otevírání zámků,</t>
    </r>
    <r>
      <rPr>
        <sz val="11"/>
        <color rgb="FF000000"/>
        <rFont val="Calibri"/>
        <family val="2"/>
        <charset val="238"/>
        <scheme val="minor"/>
      </rPr>
      <t xml:space="preserve"> p</t>
    </r>
    <r>
      <rPr>
        <sz val="11"/>
        <color theme="1"/>
        <rFont val="Calibri"/>
        <family val="2"/>
        <charset val="238"/>
        <scheme val="minor"/>
      </rPr>
      <t xml:space="preserve">adělání, šití a </t>
    </r>
    <r>
      <rPr>
        <sz val="11"/>
        <color rgb="FF000000"/>
        <rFont val="Calibri"/>
        <family val="2"/>
        <charset val="238"/>
        <scheme val="minor"/>
      </rPr>
      <t>tesařství a truhlářství</t>
    </r>
  </si>
  <si>
    <t>Bonus za míchání jedů a lektvarů nutno počítat ručně</t>
  </si>
  <si>
    <t>Těch 40% odečítat ručně</t>
  </si>
  <si>
    <t>O tom, co všchno je manuální činnost, rozhoduje PJ</t>
  </si>
  <si>
    <t>Nutno počítat ručně</t>
  </si>
  <si>
    <t>+15% přesvědčování, zastraš draky, zastraš lykantropy</t>
  </si>
  <si>
    <t>Přesnost střelby, útok a obrana jsou modifikovány automaticky</t>
  </si>
  <si>
    <t>Postihy nutno počítat ručně</t>
  </si>
  <si>
    <t>Postih iniciativy na další útok</t>
  </si>
  <si>
    <t>* pokud kouzlo failne, postih opakovani se snizuje o 10% (cili vetsi sance na uspech)</t>
  </si>
  <si>
    <t>Aktivní magická odolnost</t>
  </si>
  <si>
    <t>Bonus</t>
  </si>
  <si>
    <t>Zbroj vlastní končetiny</t>
  </si>
  <si>
    <t>si</t>
  </si>
  <si>
    <t>vlastní</t>
  </si>
  <si>
    <t>hodnoty</t>
  </si>
  <si>
    <t>Napiš</t>
  </si>
  <si>
    <t>sem</t>
  </si>
  <si>
    <t>svoje</t>
  </si>
  <si>
    <t>Tichošlápek</t>
  </si>
  <si>
    <t>Odečet za třídy zbroje</t>
  </si>
  <si>
    <t>Příčet za boj beze zbraně</t>
  </si>
  <si>
    <t>Obratnost pro výpočet</t>
  </si>
  <si>
    <t>Obratnost v základu</t>
  </si>
  <si>
    <t>Celková obrana zbraní / holých rukou / boxerů / …</t>
  </si>
  <si>
    <t>Obrana zbraní / holých rukou / boxerů / …</t>
  </si>
  <si>
    <t>Obrana štítu</t>
  </si>
  <si>
    <t>Základní obrana postavy + boj beze zbraně + obrana štítu</t>
  </si>
  <si>
    <t>Výsledný bonus obratnosti i s bojem beze zbraně</t>
  </si>
  <si>
    <t>Obrana celkem</t>
  </si>
  <si>
    <t>Obrana proti vrhací zbrani?</t>
  </si>
  <si>
    <t>Anuluje obranu zbraně, pokud se s danou zbraní nelze bránit proti vrhu &gt;</t>
  </si>
  <si>
    <t>Štít (* štít je tupá zbraň, od zranění se odečítá polovina zbroje (není započítáváno automaticky))</t>
  </si>
  <si>
    <t>Upraven způsob zobrazování tohoto change logu, teď je čitelnější.</t>
  </si>
  <si>
    <t>v0.9.4.3b</t>
  </si>
  <si>
    <t>Upravena hodnota zranění štítu, ve vzorci byl nějaký pochybný bug.</t>
  </si>
  <si>
    <t>Opravena hodnota zranění u pixie. Nyní se dělí třemi čistě jen zranění zbraně (a body za dovednosti se zbraní) bez dalších modifikátorů.</t>
  </si>
  <si>
    <t>Upravena tabulka na výpočet obrany. Nyní vypisuje spousty neužitečných věcí, které pro někoho mohou být užitečné a bonus obrany za "Boj beze zbraně" se jakoby započítává do obratnosti (podle pravidel). Stejně tak v obraně zbraně upravena podmínka pro obranu proti vrhací zbrani (občas to tvrdilo vyšší obranu než mělo).</t>
  </si>
  <si>
    <t>Utužovaní nyní o svoje procento zvyšuje maximalní staminu. Procentuální navýšení se počítá jako (základ + body(*1.5 pro člověka) + bonus) (/2 pro nenávist bohů), postihy ve vzorci nejsou (a postihy za únavu ani být nemohou vzhledem k cyklické závislosti).</t>
  </si>
  <si>
    <t>Opraveny bonusy ve Skillech, stejně tak opraven vzorec pro výpočet celkové šance. Při určitých hodnotách výsledek ignoroval vrozené rysy.</t>
  </si>
  <si>
    <t>Přidány tabulky vícenásobného útoku, obrany a sesílání.</t>
  </si>
  <si>
    <t>Přidána spousta rasových bonusů a postihů (např. poloviční nosnost pro pixie nebo dvojnásobná rychlost běhu kentaura).</t>
  </si>
  <si>
    <t>Opraven postih přesnosti pro střelné zbraně.</t>
  </si>
  <si>
    <t>Přidán seznam dovedností, znalostí  a vrozených rysů, počítání procentualní šance je nyní automatické spolu s rasovými bonusy / postihy.</t>
  </si>
  <si>
    <t>Opraven bonus průrazu u boxerů.</t>
  </si>
  <si>
    <t>Upraveny všechny výpočty pro vrh jakékoliv zbraně.</t>
  </si>
  <si>
    <t>Kompletně opraveny vzorce pro combat (útok (beze zbraně a kopem), obranu (kompletně předělaná), průraz (střelné a vrhací zbraně + boxery) a zranění (beze zbraně a kopem)).</t>
  </si>
  <si>
    <t>Opravena nosnost pro další rasy (kentaur, troll).</t>
  </si>
  <si>
    <t>Opravena nosnost trpaslíka.</t>
  </si>
  <si>
    <t>Beta release.</t>
  </si>
  <si>
    <t>v0.9.5</t>
  </si>
  <si>
    <t>Dopravní prostředek</t>
  </si>
  <si>
    <t>Přidána informativní kolonka pro magický index (MX) zbraní, štítů a armorů v záložce Equip.</t>
  </si>
  <si>
    <t>MX</t>
  </si>
  <si>
    <t>* kolonka MX je pouze informativní</t>
  </si>
  <si>
    <t>Přidána tabulka pro inventář dopravního prostředku (kůň, kočár, ...). Jejich nosnost se nepočítává do nosnosti postavy (je čistě informativní).</t>
  </si>
  <si>
    <t>Minoritní úpravy některých textů + change log je nyní chronologicky uspořádán sestupně.</t>
  </si>
  <si>
    <t>Opraven postih iniciativy při nulové zátěži.</t>
  </si>
  <si>
    <t>Spousta specialnosti (svoje vlastní 2 typy utoku, plachteni, let, zbroj ...), které vazne ale vazne pridavat nehodlam.</t>
  </si>
  <si>
    <t>Nepocitam podminene bonusy (napr +3 iniciativa v noci, +50% plizeni v lese a podobne)</t>
  </si>
  <si>
    <t>Nikde není uvedena rychlost letu, spocitejte si ji a nekam si ji napiste rucne.</t>
  </si>
  <si>
    <t>Specialnosti (dalsi zasahove body a jejich specialni zbroj) opravdu pridavat nehodlam.</t>
  </si>
  <si>
    <t>Neresim magickou odolnost pres 95% ani cenu magie.</t>
  </si>
  <si>
    <t>Neresim postih do dovedností (na sporne dovednosti se ptejte PJ)</t>
  </si>
  <si>
    <t>Neresim bonus do dovedností</t>
  </si>
  <si>
    <t>Created by Thr (thr.iamloser@gmail.com) 10.3.2010</t>
  </si>
  <si>
    <t>Psáno pro hru Fidláci verze 1.07</t>
  </si>
  <si>
    <t>Opraven bug se zraněním zavlečený z předešlé betaverze, čísla jako 19+11k6 byla samozřejmě nesmyslná. S tím souvisí opět překopání vzorce pro výpočet zranění u pixie, nyní je o 100% méně přehledný, ale o 10% více správný.</t>
  </si>
  <si>
    <t>Elfština</t>
  </si>
  <si>
    <t>Kategorie / rychlost</t>
  </si>
  <si>
    <t>Běh (m/kolo)</t>
  </si>
  <si>
    <t>Běh (km/h)</t>
  </si>
  <si>
    <t>Plavání (m/kolo)</t>
  </si>
  <si>
    <t>Plavání (km/h)</t>
  </si>
  <si>
    <t>Barbarština</t>
  </si>
  <si>
    <t>Trpasličtina</t>
  </si>
  <si>
    <t>Stará řeč</t>
  </si>
  <si>
    <t>Temná řeč</t>
  </si>
  <si>
    <t>Dračí řeč</t>
  </si>
  <si>
    <t>Jazyk</t>
  </si>
  <si>
    <t>v0.9.5.1</t>
  </si>
  <si>
    <t>Najdeš</t>
  </si>
  <si>
    <t>je</t>
  </si>
  <si>
    <t>v</t>
  </si>
  <si>
    <t>záložce</t>
  </si>
  <si>
    <t>Stats</t>
  </si>
  <si>
    <t>Základní úroveň</t>
  </si>
  <si>
    <t>Základní cena (DB)</t>
  </si>
  <si>
    <t>Cena celkem (DB)</t>
  </si>
  <si>
    <t>Celková úroveň</t>
  </si>
  <si>
    <t>Cena za bod (DB)</t>
  </si>
  <si>
    <t>Opravena menší chybka v ceně bodů za dovednosti v záložce Skills.</t>
  </si>
  <si>
    <t>Trochu upraveny tabulky v záložce Other, konkrétně přidány převody rychlosti běhu a plavání na obecně známou veličinu (km/h) a tabulka jazyky je nyní více user-friendly s možností zlepšovat si jazyk stejně jako dovednost.</t>
  </si>
  <si>
    <t>Ještě jednou mírně upraven výpočet obrany (výsledek mohl být vyšší než správný). Mimoto ještě opravena obrana ležící a vstávající postavy (v pravidlech to není, ale určitě se musí započítávat i postihy (únava / nosnost), jinak by obrana v leže vycházela mnohem víc).</t>
  </si>
  <si>
    <t>Celkem akcí</t>
  </si>
  <si>
    <t>Do záložky Armors přidána pseudo-váha jednotlivých kusů zbroje (trup, hlava, ruka, noha). Poměr váhy je smyšlený (není v pravidlech) a je pouze informativní (když máte na hlavě turnajovou helmu, na trupu kroužkovou zbroj, na nohách plátěné boty a na rukou nic, jakou váhu nesete?)</t>
  </si>
  <si>
    <t>*Smyšlené informativní hodnoty</t>
  </si>
  <si>
    <t>Váha (hlava) (1/16)</t>
  </si>
  <si>
    <t>Váha (trup) (5/16)</t>
  </si>
  <si>
    <t>Váha (1 ruka) (1/8)</t>
  </si>
  <si>
    <t>Váha (1 noha) (3/16)</t>
  </si>
  <si>
    <t>Procenta</t>
  </si>
  <si>
    <t>Opravena pasivní magická odolnost. Jelikož se nejedná o šanci a nehází se na ní, není ovlivňována nenávistí bohů.</t>
  </si>
  <si>
    <t>v0.9.6</t>
  </si>
  <si>
    <t>Upravena cena za bod ve skillech pro člověka. Vzhledem k 1.5 násobku jsou tam trochu posunuty hranice, čili ke zdražování nyní dochází dříve tak, jak to má být.</t>
  </si>
  <si>
    <t>Stupeň</t>
  </si>
  <si>
    <t>Cena / stupeň</t>
  </si>
  <si>
    <t>** při chybě by mělo stačit refreshnout buňku I8</t>
  </si>
  <si>
    <t>Překopána většina magie, přidány stupně pro jednotlivé kategorie a jejich cena (mimochodem i upravena pro vznešené elfy). Upravena základní cena kouzel, která byla naprosto nesmyslná (jelikož jsem to v době vytváření nechtěl studovat do podrobna). Vznešený elf si od ceny ručně odečte 1 DB.</t>
  </si>
  <si>
    <t>celkem (m)</t>
  </si>
  <si>
    <t>v0.9.7</t>
  </si>
  <si>
    <t>Upravena cena magických stupňů pro vznešené elfy (byla počítána správně, ale zobrazovala se špatně).</t>
  </si>
  <si>
    <t>Cena magických stupňů zemní magie je nyní pro dryády počítána správně (zlevnění o 1DB)</t>
  </si>
  <si>
    <t>Upraven nesmyslně vysoký útok štítů, majinký překlep ve vzorci…</t>
  </si>
  <si>
    <t xml:space="preserve">Dominantní ruka: </t>
  </si>
  <si>
    <t>hodin do doplnění many</t>
  </si>
  <si>
    <t>Přidána informace o tom, jak dlouho je nutno spát na doplnění celé many (neberu v potaz rys manový magnet, jelikož bývá častokrát upravován PJem vzhledem k tomu, jak je OP).</t>
  </si>
  <si>
    <t>Last update 12.2.2011</t>
  </si>
  <si>
    <t>Sem</t>
  </si>
  <si>
    <t>napiš</t>
  </si>
  <si>
    <t>Znalost magie - Oheň</t>
  </si>
  <si>
    <t>Znalost magie - Voda</t>
  </si>
  <si>
    <t>Znalost magie - Země</t>
  </si>
  <si>
    <t>Znalost magie - Vzduch</t>
  </si>
  <si>
    <t>Znalost magie - Energie</t>
  </si>
  <si>
    <t>Znalost magie - Nekromancie</t>
  </si>
  <si>
    <t>Znalost magie - Psychika</t>
  </si>
  <si>
    <t>Znalost magie - Znalost světů</t>
  </si>
  <si>
    <t>Znalost magie rozšířena na 8 podkategorií, nějak jsem to v pravidlech přehlédnul a dosud si toho nikdo nevšiml.</t>
  </si>
</sst>
</file>

<file path=xl/styles.xml><?xml version="1.0" encoding="utf-8"?>
<styleSheet xmlns="http://schemas.openxmlformats.org/spreadsheetml/2006/main">
  <numFmts count="2">
    <numFmt numFmtId="164" formatCode="\+0;\-0;0"/>
    <numFmt numFmtId="165" formatCode="0.0"/>
  </numFmts>
  <fonts count="2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2FF8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8F75"/>
        <bgColor indexed="64"/>
      </patternFill>
    </fill>
    <fill>
      <gradientFill degree="90">
        <stop position="0">
          <color theme="0"/>
        </stop>
        <stop position="0.5">
          <color theme="1"/>
        </stop>
        <stop position="1">
          <color theme="0"/>
        </stop>
      </gradientFill>
    </fill>
    <fill>
      <patternFill patternType="solid">
        <fgColor rgb="FFE4AFFF"/>
        <bgColor indexed="64"/>
      </patternFill>
    </fill>
    <fill>
      <patternFill patternType="solid">
        <fgColor rgb="FFE0FFD9"/>
        <bgColor indexed="64"/>
      </patternFill>
    </fill>
    <fill>
      <patternFill patternType="solid">
        <fgColor rgb="FFE1FEFF"/>
        <bgColor indexed="64"/>
      </patternFill>
    </fill>
    <fill>
      <patternFill patternType="solid">
        <fgColor rgb="FF89FFE3"/>
        <bgColor indexed="64"/>
      </patternFill>
    </fill>
    <fill>
      <patternFill patternType="solid">
        <fgColor rgb="FFDAFAB4"/>
        <bgColor indexed="64"/>
      </patternFill>
    </fill>
    <fill>
      <patternFill patternType="solid">
        <fgColor rgb="FFFFEB57"/>
        <bgColor indexed="64"/>
      </patternFill>
    </fill>
    <fill>
      <patternFill patternType="solid">
        <fgColor rgb="FFFFEBC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7ABFF"/>
        <bgColor indexed="64"/>
      </patternFill>
    </fill>
    <fill>
      <patternFill patternType="solid">
        <fgColor rgb="FFC5D0FF"/>
        <bgColor indexed="64"/>
      </patternFill>
    </fill>
    <fill>
      <patternFill patternType="solid">
        <fgColor rgb="FFE1E8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E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 diagonalUp="1" diagonalDown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32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Protection="1"/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0" fillId="0" borderId="6" xfId="0" applyBorder="1"/>
    <xf numFmtId="0" fontId="0" fillId="0" borderId="10" xfId="0" applyBorder="1"/>
    <xf numFmtId="0" fontId="0" fillId="0" borderId="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165" fontId="0" fillId="0" borderId="2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49" fontId="0" fillId="0" borderId="6" xfId="0" applyNumberFormat="1" applyFont="1" applyBorder="1" applyAlignment="1">
      <alignment horizontal="right"/>
    </xf>
    <xf numFmtId="0" fontId="0" fillId="0" borderId="10" xfId="0" applyFont="1" applyBorder="1"/>
    <xf numFmtId="49" fontId="0" fillId="0" borderId="10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15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" xfId="0" applyBorder="1"/>
    <xf numFmtId="0" fontId="0" fillId="0" borderId="11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0" xfId="0" applyFont="1"/>
    <xf numFmtId="0" fontId="0" fillId="0" borderId="2" xfId="0" applyBorder="1" applyAlignment="1">
      <alignment horizontal="left"/>
    </xf>
    <xf numFmtId="0" fontId="1" fillId="0" borderId="0" xfId="0" applyFont="1"/>
    <xf numFmtId="49" fontId="1" fillId="0" borderId="0" xfId="0" applyNumberFormat="1" applyFont="1"/>
    <xf numFmtId="0" fontId="0" fillId="0" borderId="6" xfId="0" applyBorder="1" applyAlignment="1">
      <alignment horizontal="right"/>
    </xf>
    <xf numFmtId="0" fontId="0" fillId="0" borderId="6" xfId="0" quotePrefix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quotePrefix="1" applyBorder="1" applyAlignment="1">
      <alignment horizontal="right"/>
    </xf>
    <xf numFmtId="0" fontId="0" fillId="0" borderId="15" xfId="0" quotePrefix="1" applyBorder="1" applyAlignment="1">
      <alignment horizontal="right"/>
    </xf>
    <xf numFmtId="0" fontId="0" fillId="0" borderId="2" xfId="0" quotePrefix="1" applyBorder="1" applyAlignment="1">
      <alignment horizontal="right"/>
    </xf>
    <xf numFmtId="0" fontId="0" fillId="0" borderId="3" xfId="0" quotePrefix="1" applyBorder="1" applyAlignment="1">
      <alignment horizontal="right"/>
    </xf>
    <xf numFmtId="0" fontId="0" fillId="0" borderId="4" xfId="0" quotePrefix="1" applyBorder="1" applyAlignment="1">
      <alignment horizontal="right"/>
    </xf>
    <xf numFmtId="0" fontId="0" fillId="0" borderId="10" xfId="0" quotePrefix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5" xfId="0" applyFill="1" applyBorder="1"/>
    <xf numFmtId="0" fontId="0" fillId="0" borderId="7" xfId="0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ont="1" applyBorder="1" applyAlignment="1">
      <alignment horizontal="justify"/>
    </xf>
    <xf numFmtId="0" fontId="0" fillId="0" borderId="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3" xfId="0" applyFill="1" applyBorder="1"/>
    <xf numFmtId="0" fontId="0" fillId="0" borderId="12" xfId="0" applyFill="1" applyBorder="1"/>
    <xf numFmtId="0" fontId="6" fillId="0" borderId="15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/>
    <xf numFmtId="0" fontId="2" fillId="0" borderId="0" xfId="0" applyFont="1" applyFill="1" applyBorder="1" applyAlignment="1"/>
    <xf numFmtId="0" fontId="0" fillId="0" borderId="1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5" xfId="0" applyBorder="1" applyAlignment="1"/>
    <xf numFmtId="0" fontId="0" fillId="0" borderId="0" xfId="0" applyNumberFormat="1"/>
    <xf numFmtId="0" fontId="11" fillId="6" borderId="1" xfId="0" applyFont="1" applyFill="1" applyBorder="1" applyAlignment="1">
      <alignment horizontal="center" vertical="top"/>
    </xf>
    <xf numFmtId="0" fontId="11" fillId="6" borderId="9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9" fillId="6" borderId="9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8" xfId="0" applyBorder="1"/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Border="1"/>
    <xf numFmtId="0" fontId="0" fillId="0" borderId="10" xfId="0" applyFont="1" applyBorder="1" applyAlignment="1"/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/>
    <xf numFmtId="0" fontId="0" fillId="0" borderId="10" xfId="0" applyFill="1" applyBorder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right"/>
    </xf>
    <xf numFmtId="2" fontId="0" fillId="0" borderId="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8" borderId="10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0" fillId="0" borderId="3" xfId="0" applyFill="1" applyBorder="1"/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ont="1" applyFill="1" applyBorder="1" applyAlignment="1"/>
    <xf numFmtId="0" fontId="9" fillId="0" borderId="0" xfId="0" quotePrefix="1" applyFont="1" applyFill="1" applyBorder="1" applyAlignment="1"/>
    <xf numFmtId="0" fontId="3" fillId="0" borderId="2" xfId="0" applyFont="1" applyBorder="1" applyAlignment="1">
      <alignment horizontal="center"/>
    </xf>
    <xf numFmtId="0" fontId="0" fillId="0" borderId="0" xfId="0" applyBorder="1" applyAlignment="1" applyProtection="1"/>
    <xf numFmtId="0" fontId="0" fillId="0" borderId="15" xfId="0" applyBorder="1" applyAlignment="1" applyProtection="1"/>
    <xf numFmtId="0" fontId="0" fillId="0" borderId="15" xfId="0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alignment horizontal="left"/>
      <protection locked="0"/>
    </xf>
    <xf numFmtId="0" fontId="3" fillId="0" borderId="12" xfId="0" applyFont="1" applyFill="1" applyBorder="1" applyProtection="1"/>
    <xf numFmtId="0" fontId="3" fillId="0" borderId="6" xfId="0" applyFont="1" applyFill="1" applyBorder="1" applyProtection="1"/>
    <xf numFmtId="0" fontId="3" fillId="0" borderId="10" xfId="0" applyFont="1" applyFill="1" applyBorder="1" applyProtection="1"/>
    <xf numFmtId="0" fontId="0" fillId="0" borderId="0" xfId="0" applyFill="1" applyProtection="1"/>
    <xf numFmtId="0" fontId="3" fillId="0" borderId="15" xfId="0" applyFont="1" applyFill="1" applyBorder="1" applyProtection="1"/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/>
    <xf numFmtId="0" fontId="0" fillId="8" borderId="6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/>
    <xf numFmtId="165" fontId="0" fillId="0" borderId="0" xfId="0" applyNumberFormat="1" applyBorder="1"/>
    <xf numFmtId="2" fontId="0" fillId="0" borderId="8" xfId="0" applyNumberFormat="1" applyBorder="1"/>
    <xf numFmtId="2" fontId="3" fillId="0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1" xfId="0" applyFont="1" applyBorder="1"/>
    <xf numFmtId="0" fontId="0" fillId="0" borderId="11" xfId="0" applyFill="1" applyBorder="1" applyAlignment="1">
      <alignment horizontal="center"/>
    </xf>
    <xf numFmtId="0" fontId="0" fillId="0" borderId="0" xfId="0" quotePrefix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3" fillId="13" borderId="15" xfId="0" applyFont="1" applyFill="1" applyBorder="1" applyAlignment="1">
      <alignment horizontal="center" wrapText="1"/>
    </xf>
    <xf numFmtId="0" fontId="3" fillId="13" borderId="2" xfId="0" applyFont="1" applyFill="1" applyBorder="1" applyAlignment="1">
      <alignment horizontal="center" wrapText="1"/>
    </xf>
    <xf numFmtId="0" fontId="0" fillId="13" borderId="12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0" fillId="13" borderId="8" xfId="0" applyNumberFormat="1" applyFill="1" applyBorder="1" applyAlignment="1">
      <alignment horizontal="center"/>
    </xf>
    <xf numFmtId="0" fontId="0" fillId="13" borderId="9" xfId="0" applyNumberForma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49" fontId="0" fillId="13" borderId="1" xfId="0" applyNumberFormat="1" applyFill="1" applyBorder="1" applyAlignment="1">
      <alignment horizont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5" xfId="0" applyFill="1" applyBorder="1" applyAlignment="1"/>
    <xf numFmtId="0" fontId="7" fillId="0" borderId="15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15" borderId="7" xfId="0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</xf>
    <xf numFmtId="0" fontId="0" fillId="16" borderId="11" xfId="0" applyFill="1" applyBorder="1" applyAlignment="1" applyProtection="1">
      <alignment horizontal="center"/>
    </xf>
    <xf numFmtId="0" fontId="0" fillId="16" borderId="6" xfId="0" applyFill="1" applyBorder="1" applyAlignment="1" applyProtection="1">
      <alignment horizontal="center"/>
    </xf>
    <xf numFmtId="0" fontId="0" fillId="16" borderId="9" xfId="0" applyFill="1" applyBorder="1" applyAlignment="1" applyProtection="1">
      <alignment horizontal="center"/>
    </xf>
    <xf numFmtId="164" fontId="0" fillId="16" borderId="11" xfId="0" applyNumberFormat="1" applyFill="1" applyBorder="1" applyAlignment="1" applyProtection="1">
      <alignment horizontal="center"/>
    </xf>
    <xf numFmtId="164" fontId="0" fillId="16" borderId="6" xfId="0" applyNumberFormat="1" applyFill="1" applyBorder="1" applyAlignment="1" applyProtection="1">
      <alignment horizontal="center"/>
    </xf>
    <xf numFmtId="164" fontId="0" fillId="16" borderId="1" xfId="0" applyNumberFormat="1" applyFill="1" applyBorder="1" applyAlignment="1" applyProtection="1">
      <alignment horizontal="center"/>
    </xf>
    <xf numFmtId="0" fontId="0" fillId="8" borderId="11" xfId="0" applyFill="1" applyBorder="1" applyAlignment="1" applyProtection="1">
      <alignment horizontal="center"/>
      <protection locked="0"/>
    </xf>
    <xf numFmtId="0" fontId="0" fillId="0" borderId="6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/>
    <xf numFmtId="0" fontId="0" fillId="0" borderId="6" xfId="0" applyBorder="1" applyAlignment="1"/>
    <xf numFmtId="0" fontId="0" fillId="0" borderId="6" xfId="0" applyBorder="1"/>
    <xf numFmtId="0" fontId="0" fillId="0" borderId="10" xfId="0" applyBorder="1"/>
    <xf numFmtId="0" fontId="0" fillId="0" borderId="20" xfId="0" applyFill="1" applyBorder="1" applyAlignment="1"/>
    <xf numFmtId="0" fontId="0" fillId="0" borderId="21" xfId="0" applyFill="1" applyBorder="1" applyAlignment="1"/>
    <xf numFmtId="0" fontId="0" fillId="0" borderId="15" xfId="0" applyBorder="1" applyAlignment="1">
      <alignment horizontal="center"/>
    </xf>
    <xf numFmtId="0" fontId="0" fillId="8" borderId="15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2" xfId="0" applyBorder="1" applyAlignment="1"/>
    <xf numFmtId="0" fontId="0" fillId="0" borderId="3" xfId="0" applyBorder="1" applyAlignment="1"/>
    <xf numFmtId="0" fontId="1" fillId="13" borderId="11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/>
    <xf numFmtId="0" fontId="3" fillId="0" borderId="15" xfId="0" applyFont="1" applyFill="1" applyBorder="1" applyAlignment="1"/>
    <xf numFmtId="0" fontId="7" fillId="0" borderId="15" xfId="0" applyFont="1" applyFill="1" applyBorder="1" applyAlignment="1" applyProtection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8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11" borderId="7" xfId="0" applyNumberFormat="1" applyFill="1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3" fillId="0" borderId="1" xfId="0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3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/>
    <xf numFmtId="0" fontId="3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3" fillId="8" borderId="7" xfId="0" applyFont="1" applyFill="1" applyBorder="1" applyAlignment="1">
      <alignment horizontal="center"/>
    </xf>
    <xf numFmtId="0" fontId="0" fillId="8" borderId="7" xfId="0" applyFill="1" applyBorder="1" applyAlignment="1" applyProtection="1">
      <alignment horizontal="center"/>
      <protection locked="0"/>
    </xf>
    <xf numFmtId="0" fontId="2" fillId="0" borderId="2" xfId="0" applyFont="1" applyFill="1" applyBorder="1" applyAlignment="1"/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6" xfId="0" applyBorder="1"/>
    <xf numFmtId="0" fontId="0" fillId="0" borderId="10" xfId="0" applyBorder="1"/>
    <xf numFmtId="0" fontId="3" fillId="0" borderId="9" xfId="0" applyFont="1" applyBorder="1" applyAlignment="1">
      <alignment horizontal="center"/>
    </xf>
    <xf numFmtId="0" fontId="0" fillId="0" borderId="6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center"/>
    </xf>
    <xf numFmtId="0" fontId="0" fillId="0" borderId="6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Fill="1" applyBorder="1" applyAlignment="1"/>
    <xf numFmtId="0" fontId="9" fillId="0" borderId="15" xfId="0" applyFont="1" applyFill="1" applyBorder="1" applyAlignment="1"/>
    <xf numFmtId="0" fontId="0" fillId="0" borderId="6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8" borderId="11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/>
    <xf numFmtId="0" fontId="1" fillId="0" borderId="15" xfId="0" applyFont="1" applyFill="1" applyBorder="1" applyAlignment="1"/>
    <xf numFmtId="165" fontId="0" fillId="0" borderId="0" xfId="0" applyNumberFormat="1" applyFill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0" borderId="11" xfId="0" applyFill="1" applyBorder="1" applyAlignment="1">
      <alignment horizontal="left" vertical="center" wrapText="1"/>
    </xf>
    <xf numFmtId="0" fontId="0" fillId="0" borderId="6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2" xfId="0" applyBorder="1" applyAlignment="1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6" xfId="0" applyFill="1" applyBorder="1" applyAlignment="1">
      <alignment horizontal="left" vertical="top" wrapText="1"/>
    </xf>
    <xf numFmtId="0" fontId="0" fillId="0" borderId="15" xfId="0" applyBorder="1" applyAlignment="1" applyProtection="1">
      <alignment horizontal="left"/>
      <protection locked="0"/>
    </xf>
    <xf numFmtId="0" fontId="0" fillId="0" borderId="6" xfId="0" applyBorder="1"/>
    <xf numFmtId="0" fontId="0" fillId="0" borderId="10" xfId="0" applyBorder="1"/>
    <xf numFmtId="0" fontId="0" fillId="0" borderId="10" xfId="0" applyFill="1" applyBorder="1" applyAlignment="1">
      <alignment horizontal="left" wrapText="1"/>
    </xf>
    <xf numFmtId="165" fontId="0" fillId="0" borderId="15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0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0" xfId="0" applyBorder="1"/>
    <xf numFmtId="0" fontId="0" fillId="0" borderId="6" xfId="0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0" fillId="0" borderId="6" xfId="0" applyBorder="1"/>
    <xf numFmtId="2" fontId="0" fillId="0" borderId="0" xfId="0" applyNumberFormat="1" applyAlignment="1">
      <alignment horizontal="center"/>
    </xf>
    <xf numFmtId="16" fontId="0" fillId="0" borderId="0" xfId="0" quotePrefix="1" applyNumberFormat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1" fillId="0" borderId="0" xfId="1" applyFont="1" applyFill="1" applyAlignment="1" applyProtection="1"/>
    <xf numFmtId="0" fontId="2" fillId="0" borderId="0" xfId="0" applyFont="1" applyFill="1" applyBorder="1" applyAlignment="1">
      <alignment vertical="center"/>
    </xf>
    <xf numFmtId="0" fontId="2" fillId="15" borderId="7" xfId="0" applyFont="1" applyFill="1" applyBorder="1" applyAlignment="1" applyProtection="1">
      <alignment horizontal="center" vertical="center"/>
    </xf>
    <xf numFmtId="0" fontId="2" fillId="15" borderId="8" xfId="0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/>
    </xf>
    <xf numFmtId="0" fontId="2" fillId="15" borderId="14" xfId="0" applyFont="1" applyFill="1" applyBorder="1" applyAlignment="1" applyProtection="1">
      <alignment horizontal="center" vertical="center"/>
    </xf>
    <xf numFmtId="0" fontId="2" fillId="15" borderId="7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10" fillId="15" borderId="7" xfId="0" applyFont="1" applyFill="1" applyBorder="1" applyAlignment="1" applyProtection="1">
      <alignment horizontal="center"/>
    </xf>
    <xf numFmtId="0" fontId="10" fillId="15" borderId="8" xfId="0" applyFont="1" applyFill="1" applyBorder="1" applyAlignment="1" applyProtection="1">
      <alignment horizontal="center"/>
    </xf>
    <xf numFmtId="0" fontId="10" fillId="15" borderId="9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 applyProtection="1">
      <alignment horizontal="left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15" xfId="0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11" borderId="12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6" fillId="11" borderId="12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7" fillId="11" borderId="7" xfId="0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/>
    </xf>
    <xf numFmtId="0" fontId="0" fillId="0" borderId="5" xfId="0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8" borderId="1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/>
    </xf>
    <xf numFmtId="0" fontId="2" fillId="17" borderId="8" xfId="0" applyFont="1" applyFill="1" applyBorder="1" applyAlignment="1">
      <alignment horizontal="center"/>
    </xf>
    <xf numFmtId="0" fontId="2" fillId="17" borderId="9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10" fillId="18" borderId="7" xfId="0" applyFont="1" applyFill="1" applyBorder="1" applyAlignment="1">
      <alignment horizontal="center"/>
    </xf>
    <xf numFmtId="0" fontId="10" fillId="18" borderId="8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/>
    <xf numFmtId="0" fontId="0" fillId="0" borderId="10" xfId="0" applyBorder="1"/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13" borderId="12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0" fillId="12" borderId="8" xfId="0" applyFill="1" applyBorder="1"/>
    <xf numFmtId="0" fontId="0" fillId="12" borderId="9" xfId="0" applyFill="1" applyBorder="1"/>
    <xf numFmtId="0" fontId="2" fillId="12" borderId="1" xfId="0" applyFont="1" applyFill="1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13" borderId="15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13" borderId="12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3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165" fontId="0" fillId="13" borderId="3" xfId="0" applyNumberFormat="1" applyFill="1" applyBorder="1" applyAlignment="1">
      <alignment horizontal="center" vertical="center"/>
    </xf>
    <xf numFmtId="165" fontId="0" fillId="13" borderId="5" xfId="0" applyNumberFormat="1" applyFill="1" applyBorder="1" applyAlignment="1">
      <alignment horizontal="center" vertical="center"/>
    </xf>
    <xf numFmtId="165" fontId="0" fillId="13" borderId="4" xfId="0" applyNumberForma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 wrapText="1"/>
    </xf>
    <xf numFmtId="0" fontId="3" fillId="20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20" borderId="3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12" fillId="13" borderId="11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14" borderId="7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5" xfId="0" quotePrefix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quotePrefix="1" applyBorder="1" applyAlignment="1">
      <alignment wrapText="1"/>
    </xf>
    <xf numFmtId="0" fontId="0" fillId="0" borderId="2" xfId="0" quotePrefix="1" applyBorder="1" applyAlignment="1">
      <alignment wrapText="1"/>
    </xf>
    <xf numFmtId="0" fontId="15" fillId="0" borderId="15" xfId="0" quotePrefix="1" applyFont="1" applyBorder="1" applyAlignment="1">
      <alignment wrapText="1"/>
    </xf>
    <xf numFmtId="0" fontId="15" fillId="0" borderId="0" xfId="0" quotePrefix="1" applyFont="1" applyBorder="1" applyAlignment="1">
      <alignment wrapText="1"/>
    </xf>
    <xf numFmtId="0" fontId="15" fillId="0" borderId="2" xfId="0" quotePrefix="1" applyFont="1" applyBorder="1" applyAlignment="1">
      <alignment wrapText="1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quotePrefix="1" applyBorder="1" applyAlignment="1">
      <alignment horizontal="left" wrapText="1"/>
    </xf>
    <xf numFmtId="0" fontId="0" fillId="0" borderId="0" xfId="0" quotePrefix="1" applyBorder="1" applyAlignment="1">
      <alignment horizontal="left" wrapText="1"/>
    </xf>
    <xf numFmtId="0" fontId="0" fillId="0" borderId="2" xfId="0" quotePrefix="1" applyBorder="1" applyAlignment="1">
      <alignment horizontal="left" wrapText="1"/>
    </xf>
    <xf numFmtId="0" fontId="9" fillId="6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19" borderId="7" xfId="0" applyFont="1" applyFill="1" applyBorder="1" applyAlignment="1">
      <alignment horizontal="center"/>
    </xf>
    <xf numFmtId="0" fontId="2" fillId="19" borderId="9" xfId="0" applyFont="1" applyFill="1" applyBorder="1" applyAlignment="1">
      <alignment horizontal="center"/>
    </xf>
    <xf numFmtId="0" fontId="2" fillId="19" borderId="7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88">
    <dxf>
      <font>
        <b val="0"/>
        <i val="0"/>
        <color theme="4" tint="-0.24994659260841701"/>
      </font>
    </dxf>
    <dxf>
      <font>
        <color theme="0"/>
      </font>
    </dxf>
    <dxf>
      <border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color theme="1"/>
      </font>
      <border>
        <left style="thin">
          <color rgb="FFFF0000"/>
        </left>
        <top style="thin">
          <color rgb="FFFF0000"/>
        </top>
        <bottom style="thin">
          <color rgb="FFFF0000"/>
        </bottom>
        <vertical/>
        <horizontal/>
      </border>
    </dxf>
    <dxf>
      <font>
        <color theme="1"/>
      </font>
      <border>
        <left style="thin">
          <color rgb="FFFF0000"/>
        </left>
        <top style="thin">
          <color rgb="FFFF0000"/>
        </top>
        <bottom style="thin">
          <color rgb="FFFF0000"/>
        </bottom>
        <vertical/>
        <horizontal/>
      </border>
    </dxf>
    <dxf>
      <border>
        <left/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border>
        <left style="thin">
          <color rgb="FFFF0000"/>
        </left>
        <right style="thin">
          <color rgb="FFFF0000"/>
        </right>
        <bottom style="thin">
          <color rgb="FFFF0000"/>
        </bottom>
        <vertical/>
        <horizontal/>
      </border>
    </dxf>
    <dxf>
      <font>
        <color theme="0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vertical/>
        <horizontal/>
      </border>
    </dxf>
    <dxf>
      <border>
        <left style="thin">
          <color rgb="FFFF0000"/>
        </lef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vertical/>
        <horizontal/>
      </border>
    </dxf>
    <dxf>
      <border>
        <left/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</dxf>
    <dxf>
      <font>
        <color rgb="FF00B050"/>
      </font>
    </dxf>
    <dxf>
      <font>
        <color rgb="FFFF0000"/>
      </font>
    </dxf>
    <dxf>
      <border>
        <left style="thin">
          <color rgb="FFFF0000"/>
        </lef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8E0000"/>
        </patternFill>
      </fill>
    </dxf>
    <dxf>
      <fill>
        <patternFill patternType="lightDown"/>
      </fill>
    </dxf>
    <dxf>
      <font>
        <color rgb="FFFF0000"/>
      </font>
    </dxf>
    <dxf>
      <border>
        <right style="thin">
          <color auto="1"/>
        </right>
        <vertical/>
        <horizontal/>
      </border>
    </dxf>
    <dxf>
      <font>
        <color theme="0"/>
      </font>
    </dxf>
    <dxf>
      <border>
        <bottom style="thin">
          <color auto="1"/>
        </bottom>
        <vertical/>
        <horizontal/>
      </border>
    </dxf>
    <dxf>
      <fill>
        <patternFill>
          <bgColor rgb="FFE0FFD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ill>
        <patternFill>
          <bgColor rgb="FFE0FFD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fill>
        <patternFill>
          <bgColor rgb="FFE0FFD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8E0000"/>
        </patternFill>
      </fill>
    </dxf>
  </dxfs>
  <tableStyles count="0" defaultTableStyle="TableStyleMedium9" defaultPivotStyle="PivotStyleLight16"/>
  <colors>
    <mruColors>
      <color rgb="FF89FFE3"/>
      <color rgb="FFFF99FF"/>
      <color rgb="FFE4AFFF"/>
      <color rgb="FFFF00FF"/>
      <color rgb="FFFFFFEF"/>
      <color rgb="FFFFFFFF"/>
      <color rgb="FFFFFFCC"/>
      <color rgb="FFE1E8FF"/>
      <color rgb="FFE0FFD9"/>
      <color rgb="FFA2FF8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00FE"/>
  </sheetPr>
  <dimension ref="A1:AG50"/>
  <sheetViews>
    <sheetView workbookViewId="0"/>
  </sheetViews>
  <sheetFormatPr defaultRowHeight="15"/>
  <cols>
    <col min="1" max="1" width="9.140625" customWidth="1"/>
    <col min="2" max="2" width="27.7109375" customWidth="1"/>
    <col min="3" max="13" width="11.7109375" customWidth="1"/>
    <col min="27" max="33" width="9.140625" hidden="1" customWidth="1"/>
  </cols>
  <sheetData>
    <row r="1" spans="1:3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AA1" s="4" t="s">
        <v>419</v>
      </c>
      <c r="AB1" s="4" t="e">
        <f>50+FLOOR(MAX((ROW()-1+$C$19-$D$19)/$D$19+0.5,0),0.5)/0.5*50</f>
        <v>#VALUE!</v>
      </c>
      <c r="AC1" s="4" t="e">
        <f>50+FLOOR(MAX((ROW()-1+$C$20-$D$20)/$D$20+0.5,0),0.5)/0.5*50</f>
        <v>#VALUE!</v>
      </c>
      <c r="AD1" s="4" t="e">
        <f>50+FLOOR(MAX((ROW()-1+$C$21-$D$21)/$D$21+0.5,0),0.5)/0.5*50</f>
        <v>#VALUE!</v>
      </c>
      <c r="AE1" s="4" t="e">
        <f t="shared" ref="AE1:AE32" si="0">50+FLOOR(MAX((ROW()-1+$C$22-$D$22)/$D$22+0.5,0),0.5)/0.5*50</f>
        <v>#VALUE!</v>
      </c>
      <c r="AF1" s="4" t="e">
        <f t="shared" ref="AF1:AF32" si="1">50+FLOOR(MAX((ROW()-1+$C$23-$D$23)/$D$23+0.5,0),0.5)/0.5*50</f>
        <v>#VALUE!</v>
      </c>
      <c r="AG1" s="4" t="e">
        <f t="shared" ref="AG1:AG32" si="2">50+FLOOR(MAX((ROW()-1+$C$24-$D$24)/$D$24+0.5,0),0.5)/0.5*50</f>
        <v>#N/A</v>
      </c>
    </row>
    <row r="2" spans="1:33">
      <c r="A2" s="3"/>
      <c r="B2" s="493" t="s">
        <v>430</v>
      </c>
      <c r="C2" s="494"/>
      <c r="D2" s="495"/>
      <c r="J2" s="3"/>
      <c r="K2" s="3"/>
      <c r="AA2" s="4" t="s">
        <v>420</v>
      </c>
      <c r="AB2" s="4" t="e">
        <f t="shared" ref="AB2:AB50" si="3">50+FLOOR(MAX((ROW()-1+$C$19-$D$19)/$D$19+0.5,0),0.5)/0.5*50</f>
        <v>#VALUE!</v>
      </c>
      <c r="AC2" s="4" t="e">
        <f t="shared" ref="AC2:AC50" si="4">50+FLOOR(MAX((ROW()-1+$C$20-$D$20)/$D$20+0.5,0),0.5)/0.5*50</f>
        <v>#VALUE!</v>
      </c>
      <c r="AD2" s="4" t="e">
        <f t="shared" ref="AD2:AD50" si="5">50+FLOOR(MAX((ROW()-1+$C$21-$D$21)/$D$21+0.5,0),0.5)/0.5*50</f>
        <v>#VALUE!</v>
      </c>
      <c r="AE2" s="4" t="e">
        <f t="shared" si="0"/>
        <v>#VALUE!</v>
      </c>
      <c r="AF2" s="4" t="e">
        <f t="shared" si="1"/>
        <v>#VALUE!</v>
      </c>
      <c r="AG2" s="4" t="e">
        <f t="shared" si="2"/>
        <v>#N/A</v>
      </c>
    </row>
    <row r="3" spans="1:33">
      <c r="A3" s="3"/>
      <c r="B3" s="209" t="s">
        <v>21</v>
      </c>
      <c r="C3" s="500"/>
      <c r="D3" s="501"/>
      <c r="E3" s="188"/>
      <c r="F3" s="3"/>
      <c r="G3" s="3"/>
      <c r="H3" s="3"/>
      <c r="I3" s="3"/>
      <c r="J3" s="3"/>
      <c r="K3" s="3"/>
      <c r="AA3" s="4" t="s">
        <v>376</v>
      </c>
      <c r="AB3" s="4" t="e">
        <f t="shared" si="3"/>
        <v>#VALUE!</v>
      </c>
      <c r="AC3" s="4" t="e">
        <f t="shared" si="4"/>
        <v>#VALUE!</v>
      </c>
      <c r="AD3" s="4" t="e">
        <f t="shared" si="5"/>
        <v>#VALUE!</v>
      </c>
      <c r="AE3" s="4" t="e">
        <f t="shared" si="0"/>
        <v>#VALUE!</v>
      </c>
      <c r="AF3" s="4" t="e">
        <f t="shared" si="1"/>
        <v>#VALUE!</v>
      </c>
      <c r="AG3" s="4" t="e">
        <f t="shared" si="2"/>
        <v>#N/A</v>
      </c>
    </row>
    <row r="4" spans="1:33">
      <c r="A4" s="3"/>
      <c r="B4" s="213" t="s">
        <v>20</v>
      </c>
      <c r="C4" s="502"/>
      <c r="D4" s="499"/>
      <c r="E4" s="188"/>
      <c r="F4" s="3"/>
      <c r="G4" s="3"/>
      <c r="H4" s="3"/>
      <c r="I4" s="3"/>
      <c r="J4" s="3"/>
      <c r="K4" s="3"/>
      <c r="AA4" s="4" t="s">
        <v>377</v>
      </c>
      <c r="AB4" s="4" t="e">
        <f t="shared" si="3"/>
        <v>#VALUE!</v>
      </c>
      <c r="AC4" s="4" t="e">
        <f t="shared" si="4"/>
        <v>#VALUE!</v>
      </c>
      <c r="AD4" s="4" t="e">
        <f t="shared" si="5"/>
        <v>#VALUE!</v>
      </c>
      <c r="AE4" s="4" t="e">
        <f t="shared" si="0"/>
        <v>#VALUE!</v>
      </c>
      <c r="AF4" s="4" t="e">
        <f t="shared" si="1"/>
        <v>#VALUE!</v>
      </c>
      <c r="AG4" s="4" t="e">
        <f t="shared" si="2"/>
        <v>#N/A</v>
      </c>
    </row>
    <row r="5" spans="1:33">
      <c r="A5" s="3"/>
      <c r="B5" s="210" t="s">
        <v>421</v>
      </c>
      <c r="C5" s="498"/>
      <c r="D5" s="499"/>
      <c r="E5" s="3"/>
      <c r="F5" s="3"/>
      <c r="G5" s="3"/>
      <c r="H5" s="3"/>
      <c r="I5" s="3"/>
      <c r="J5" s="3"/>
      <c r="K5" s="3"/>
      <c r="AA5" s="4" t="s">
        <v>378</v>
      </c>
      <c r="AB5" s="4" t="e">
        <f t="shared" si="3"/>
        <v>#VALUE!</v>
      </c>
      <c r="AC5" s="4" t="e">
        <f t="shared" si="4"/>
        <v>#VALUE!</v>
      </c>
      <c r="AD5" s="4" t="e">
        <f t="shared" si="5"/>
        <v>#VALUE!</v>
      </c>
      <c r="AE5" s="4" t="e">
        <f t="shared" si="0"/>
        <v>#VALUE!</v>
      </c>
      <c r="AF5" s="4" t="e">
        <f t="shared" si="1"/>
        <v>#VALUE!</v>
      </c>
      <c r="AG5" s="4" t="e">
        <f t="shared" si="2"/>
        <v>#N/A</v>
      </c>
    </row>
    <row r="6" spans="1:33">
      <c r="A6" s="3"/>
      <c r="B6" s="210" t="s">
        <v>415</v>
      </c>
      <c r="C6" s="503"/>
      <c r="D6" s="504"/>
      <c r="E6" s="3"/>
      <c r="F6" s="3"/>
      <c r="G6" s="3"/>
      <c r="H6" s="3"/>
      <c r="I6" s="3"/>
      <c r="J6" s="3"/>
      <c r="K6" s="3"/>
      <c r="AA6" s="4" t="s">
        <v>379</v>
      </c>
      <c r="AB6" s="4" t="e">
        <f t="shared" si="3"/>
        <v>#VALUE!</v>
      </c>
      <c r="AC6" s="4" t="e">
        <f t="shared" si="4"/>
        <v>#VALUE!</v>
      </c>
      <c r="AD6" s="4" t="e">
        <f t="shared" si="5"/>
        <v>#VALUE!</v>
      </c>
      <c r="AE6" s="4" t="e">
        <f t="shared" si="0"/>
        <v>#VALUE!</v>
      </c>
      <c r="AF6" s="4" t="e">
        <f t="shared" si="1"/>
        <v>#VALUE!</v>
      </c>
      <c r="AG6" s="4" t="e">
        <f t="shared" si="2"/>
        <v>#N/A</v>
      </c>
    </row>
    <row r="7" spans="1:33">
      <c r="A7" s="3"/>
      <c r="B7" s="210" t="s">
        <v>14</v>
      </c>
      <c r="C7" s="505"/>
      <c r="D7" s="506"/>
      <c r="E7" s="3"/>
      <c r="F7" s="3"/>
      <c r="G7" s="3"/>
      <c r="H7" s="3"/>
      <c r="I7" s="3"/>
      <c r="J7" s="3"/>
      <c r="K7" s="3"/>
      <c r="AA7" s="4" t="s">
        <v>19</v>
      </c>
      <c r="AB7" s="4" t="e">
        <f t="shared" si="3"/>
        <v>#VALUE!</v>
      </c>
      <c r="AC7" s="4" t="e">
        <f t="shared" si="4"/>
        <v>#VALUE!</v>
      </c>
      <c r="AD7" s="4" t="e">
        <f t="shared" si="5"/>
        <v>#VALUE!</v>
      </c>
      <c r="AE7" s="4" t="e">
        <f t="shared" si="0"/>
        <v>#VALUE!</v>
      </c>
      <c r="AF7" s="4" t="e">
        <f t="shared" si="1"/>
        <v>#VALUE!</v>
      </c>
      <c r="AG7" s="4" t="e">
        <f t="shared" si="2"/>
        <v>#N/A</v>
      </c>
    </row>
    <row r="8" spans="1:33">
      <c r="A8" s="3"/>
      <c r="B8" s="211" t="s">
        <v>416</v>
      </c>
      <c r="C8" s="496"/>
      <c r="D8" s="497"/>
      <c r="E8" s="3"/>
      <c r="F8" s="3"/>
      <c r="G8" s="3"/>
      <c r="H8" s="3"/>
      <c r="I8" s="3"/>
      <c r="J8" s="3"/>
      <c r="K8" s="3"/>
      <c r="AA8" s="4" t="s">
        <v>380</v>
      </c>
      <c r="AB8" s="4" t="e">
        <f t="shared" si="3"/>
        <v>#VALUE!</v>
      </c>
      <c r="AC8" s="4" t="e">
        <f t="shared" si="4"/>
        <v>#VALUE!</v>
      </c>
      <c r="AD8" s="4" t="e">
        <f t="shared" si="5"/>
        <v>#VALUE!</v>
      </c>
      <c r="AE8" s="4" t="e">
        <f t="shared" si="0"/>
        <v>#VALUE!</v>
      </c>
      <c r="AF8" s="4" t="e">
        <f t="shared" si="1"/>
        <v>#VALUE!</v>
      </c>
      <c r="AG8" s="4" t="e">
        <f t="shared" si="2"/>
        <v>#N/A</v>
      </c>
    </row>
    <row r="9" spans="1:3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M9" s="5"/>
      <c r="N9" s="5"/>
      <c r="O9" s="5"/>
      <c r="AA9" s="4" t="s">
        <v>381</v>
      </c>
      <c r="AB9" s="4" t="e">
        <f t="shared" si="3"/>
        <v>#VALUE!</v>
      </c>
      <c r="AC9" s="4" t="e">
        <f t="shared" si="4"/>
        <v>#VALUE!</v>
      </c>
      <c r="AD9" s="4" t="e">
        <f t="shared" si="5"/>
        <v>#VALUE!</v>
      </c>
      <c r="AE9" s="4" t="e">
        <f t="shared" si="0"/>
        <v>#VALUE!</v>
      </c>
      <c r="AF9" s="4" t="e">
        <f t="shared" si="1"/>
        <v>#VALUE!</v>
      </c>
      <c r="AG9" s="4" t="e">
        <f t="shared" si="2"/>
        <v>#N/A</v>
      </c>
    </row>
    <row r="10" spans="1:33">
      <c r="A10" s="3"/>
      <c r="B10" s="269" t="s">
        <v>22</v>
      </c>
      <c r="C10" s="189"/>
      <c r="D10" s="489" t="s">
        <v>557</v>
      </c>
      <c r="E10" s="490"/>
      <c r="F10" s="490"/>
      <c r="G10" s="490"/>
      <c r="H10" s="490"/>
      <c r="I10" s="490"/>
      <c r="J10" s="491"/>
      <c r="K10" s="491"/>
      <c r="L10" s="491"/>
      <c r="M10" s="492"/>
      <c r="AA10" s="4" t="s">
        <v>382</v>
      </c>
      <c r="AB10" s="4" t="e">
        <f t="shared" si="3"/>
        <v>#VALUE!</v>
      </c>
      <c r="AC10" s="4" t="e">
        <f t="shared" si="4"/>
        <v>#VALUE!</v>
      </c>
      <c r="AD10" s="4" t="e">
        <f t="shared" si="5"/>
        <v>#VALUE!</v>
      </c>
      <c r="AE10" s="4" t="e">
        <f t="shared" si="0"/>
        <v>#VALUE!</v>
      </c>
      <c r="AF10" s="4" t="e">
        <f t="shared" si="1"/>
        <v>#VALUE!</v>
      </c>
      <c r="AG10" s="4" t="e">
        <f t="shared" si="2"/>
        <v>#N/A</v>
      </c>
    </row>
    <row r="11" spans="1:33">
      <c r="A11" s="3"/>
      <c r="B11" s="207"/>
      <c r="C11" s="190"/>
      <c r="D11" s="500"/>
      <c r="E11" s="501"/>
      <c r="F11" s="511" t="e">
        <f>VLOOKUP(D11,'Perks &amp; Skills'!$B$4:$C$65,2)</f>
        <v>#N/A</v>
      </c>
      <c r="G11" s="512"/>
      <c r="H11" s="512"/>
      <c r="I11" s="513"/>
      <c r="J11" s="511" t="e">
        <f>IF(VLOOKUP(D11,'Perks &amp; Skills'!$B$4:$F$65,5)=0,"",VLOOKUP(D11,'Perks &amp; Skills'!$B$4:$F$65,5))</f>
        <v>#N/A</v>
      </c>
      <c r="K11" s="512"/>
      <c r="L11" s="512"/>
      <c r="M11" s="513"/>
      <c r="AA11" s="4" t="s">
        <v>383</v>
      </c>
      <c r="AB11" s="4" t="e">
        <f t="shared" si="3"/>
        <v>#VALUE!</v>
      </c>
      <c r="AC11" s="4" t="e">
        <f t="shared" si="4"/>
        <v>#VALUE!</v>
      </c>
      <c r="AD11" s="4" t="e">
        <f t="shared" si="5"/>
        <v>#VALUE!</v>
      </c>
      <c r="AE11" s="4" t="e">
        <f t="shared" si="0"/>
        <v>#VALUE!</v>
      </c>
      <c r="AF11" s="4" t="e">
        <f t="shared" si="1"/>
        <v>#VALUE!</v>
      </c>
      <c r="AG11" s="4" t="e">
        <f t="shared" si="2"/>
        <v>#N/A</v>
      </c>
    </row>
    <row r="12" spans="1:33">
      <c r="A12" s="3"/>
      <c r="B12" s="399"/>
      <c r="C12" s="190"/>
      <c r="D12" s="502"/>
      <c r="E12" s="499"/>
      <c r="F12" s="514" t="e">
        <f>VLOOKUP(D12,'Perks &amp; Skills'!$B$4:$C$65,2)</f>
        <v>#N/A</v>
      </c>
      <c r="G12" s="515"/>
      <c r="H12" s="515"/>
      <c r="I12" s="515"/>
      <c r="J12" s="514" t="e">
        <f>IF(VLOOKUP(D12,'Perks &amp; Skills'!$B$4:$F$65,5)=0,"",VLOOKUP(D12,'Perks &amp; Skills'!$B$4:$F$65,5))</f>
        <v>#N/A</v>
      </c>
      <c r="K12" s="515"/>
      <c r="L12" s="515"/>
      <c r="M12" s="518"/>
      <c r="AA12" s="4" t="s">
        <v>384</v>
      </c>
      <c r="AB12" s="4" t="e">
        <f t="shared" si="3"/>
        <v>#VALUE!</v>
      </c>
      <c r="AC12" s="4" t="e">
        <f t="shared" si="4"/>
        <v>#VALUE!</v>
      </c>
      <c r="AD12" s="4" t="e">
        <f t="shared" si="5"/>
        <v>#VALUE!</v>
      </c>
      <c r="AE12" s="4" t="e">
        <f t="shared" si="0"/>
        <v>#VALUE!</v>
      </c>
      <c r="AF12" s="4" t="e">
        <f t="shared" si="1"/>
        <v>#VALUE!</v>
      </c>
      <c r="AG12" s="4" t="e">
        <f t="shared" si="2"/>
        <v>#N/A</v>
      </c>
    </row>
    <row r="13" spans="1:33">
      <c r="A13" s="3"/>
      <c r="B13" s="399"/>
      <c r="C13" s="190"/>
      <c r="D13" s="502"/>
      <c r="E13" s="499"/>
      <c r="F13" s="514" t="e">
        <f>VLOOKUP(D13,'Perks &amp; Skills'!$B$4:$C$65,2)</f>
        <v>#N/A</v>
      </c>
      <c r="G13" s="515"/>
      <c r="H13" s="515"/>
      <c r="I13" s="515"/>
      <c r="J13" s="514" t="e">
        <f>IF(VLOOKUP(D13,'Perks &amp; Skills'!$B$4:$F$65,5)=0,"",VLOOKUP(D13,'Perks &amp; Skills'!$B$4:$F$65,5))</f>
        <v>#N/A</v>
      </c>
      <c r="K13" s="515"/>
      <c r="L13" s="515"/>
      <c r="M13" s="518"/>
      <c r="AA13" s="4" t="s">
        <v>385</v>
      </c>
      <c r="AB13" s="4" t="e">
        <f t="shared" si="3"/>
        <v>#VALUE!</v>
      </c>
      <c r="AC13" s="4" t="e">
        <f t="shared" si="4"/>
        <v>#VALUE!</v>
      </c>
      <c r="AD13" s="4" t="e">
        <f t="shared" si="5"/>
        <v>#VALUE!</v>
      </c>
      <c r="AE13" s="4" t="e">
        <f t="shared" si="0"/>
        <v>#VALUE!</v>
      </c>
      <c r="AF13" s="4" t="e">
        <f t="shared" si="1"/>
        <v>#VALUE!</v>
      </c>
      <c r="AG13" s="4" t="e">
        <f t="shared" si="2"/>
        <v>#N/A</v>
      </c>
    </row>
    <row r="14" spans="1:33">
      <c r="A14" s="3"/>
      <c r="B14" s="399"/>
      <c r="C14" s="190"/>
      <c r="D14" s="502"/>
      <c r="E14" s="499"/>
      <c r="F14" s="514" t="e">
        <f>VLOOKUP(D14,'Perks &amp; Skills'!$B$4:$C$65,2)</f>
        <v>#N/A</v>
      </c>
      <c r="G14" s="515"/>
      <c r="H14" s="515"/>
      <c r="I14" s="515"/>
      <c r="J14" s="514" t="e">
        <f>IF(VLOOKUP(D14,'Perks &amp; Skills'!$B$4:$F$65,5)=0,"",VLOOKUP(D14,'Perks &amp; Skills'!$B$4:$F$65,5))</f>
        <v>#N/A</v>
      </c>
      <c r="K14" s="515"/>
      <c r="L14" s="515"/>
      <c r="M14" s="518"/>
      <c r="AA14" s="4" t="s">
        <v>386</v>
      </c>
      <c r="AB14" s="4" t="e">
        <f t="shared" si="3"/>
        <v>#VALUE!</v>
      </c>
      <c r="AC14" s="4" t="e">
        <f t="shared" si="4"/>
        <v>#VALUE!</v>
      </c>
      <c r="AD14" s="4" t="e">
        <f t="shared" si="5"/>
        <v>#VALUE!</v>
      </c>
      <c r="AE14" s="4" t="e">
        <f t="shared" si="0"/>
        <v>#VALUE!</v>
      </c>
      <c r="AF14" s="4" t="e">
        <f t="shared" si="1"/>
        <v>#VALUE!</v>
      </c>
      <c r="AG14" s="4" t="e">
        <f t="shared" si="2"/>
        <v>#N/A</v>
      </c>
    </row>
    <row r="15" spans="1:33">
      <c r="A15" s="3"/>
      <c r="B15" s="208"/>
      <c r="C15" s="3"/>
      <c r="D15" s="496"/>
      <c r="E15" s="510"/>
      <c r="F15" s="516" t="e">
        <f>VLOOKUP(D15,'Perks &amp; Skills'!$B$4:$C$65,2)</f>
        <v>#N/A</v>
      </c>
      <c r="G15" s="517"/>
      <c r="H15" s="517"/>
      <c r="I15" s="517"/>
      <c r="J15" s="516" t="e">
        <f>IF(VLOOKUP(D15,'Perks &amp; Skills'!$B$4:$F$65,5)=0,"",VLOOKUP(D15,'Perks &amp; Skills'!$B$4:$F$65,5))</f>
        <v>#N/A</v>
      </c>
      <c r="K15" s="517"/>
      <c r="L15" s="517"/>
      <c r="M15" s="519"/>
      <c r="AA15" s="4" t="s">
        <v>387</v>
      </c>
      <c r="AB15" s="4" t="e">
        <f t="shared" si="3"/>
        <v>#VALUE!</v>
      </c>
      <c r="AC15" s="4" t="e">
        <f t="shared" si="4"/>
        <v>#VALUE!</v>
      </c>
      <c r="AD15" s="4" t="e">
        <f t="shared" si="5"/>
        <v>#VALUE!</v>
      </c>
      <c r="AE15" s="4" t="e">
        <f t="shared" si="0"/>
        <v>#VALUE!</v>
      </c>
      <c r="AF15" s="4" t="e">
        <f t="shared" si="1"/>
        <v>#VALUE!</v>
      </c>
      <c r="AG15" s="4" t="e">
        <f t="shared" si="2"/>
        <v>#N/A</v>
      </c>
    </row>
    <row r="16" spans="1:33" s="4" customFormat="1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AA16" s="4" t="s">
        <v>388</v>
      </c>
      <c r="AB16" s="4" t="e">
        <f t="shared" si="3"/>
        <v>#VALUE!</v>
      </c>
      <c r="AC16" s="4" t="e">
        <f t="shared" si="4"/>
        <v>#VALUE!</v>
      </c>
      <c r="AD16" s="4" t="e">
        <f t="shared" si="5"/>
        <v>#VALUE!</v>
      </c>
      <c r="AE16" s="4" t="e">
        <f t="shared" si="0"/>
        <v>#VALUE!</v>
      </c>
      <c r="AF16" s="4" t="e">
        <f t="shared" si="1"/>
        <v>#VALUE!</v>
      </c>
      <c r="AG16" s="4" t="e">
        <f t="shared" si="2"/>
        <v>#N/A</v>
      </c>
    </row>
    <row r="17" spans="1:33" s="4" customFormat="1">
      <c r="A17" s="3"/>
      <c r="B17" s="507" t="s">
        <v>18</v>
      </c>
      <c r="C17" s="508"/>
      <c r="D17" s="508"/>
      <c r="E17" s="508"/>
      <c r="F17" s="508"/>
      <c r="G17" s="508"/>
      <c r="H17" s="508"/>
      <c r="I17" s="509"/>
      <c r="J17" s="3"/>
      <c r="AA17" s="4" t="s">
        <v>389</v>
      </c>
      <c r="AB17" s="4" t="e">
        <f t="shared" si="3"/>
        <v>#VALUE!</v>
      </c>
      <c r="AC17" s="4" t="e">
        <f t="shared" si="4"/>
        <v>#VALUE!</v>
      </c>
      <c r="AD17" s="4" t="e">
        <f t="shared" si="5"/>
        <v>#VALUE!</v>
      </c>
      <c r="AE17" s="4" t="e">
        <f t="shared" si="0"/>
        <v>#VALUE!</v>
      </c>
      <c r="AF17" s="4" t="e">
        <f t="shared" si="1"/>
        <v>#VALUE!</v>
      </c>
      <c r="AG17" s="4" t="e">
        <f t="shared" si="2"/>
        <v>#N/A</v>
      </c>
    </row>
    <row r="18" spans="1:33">
      <c r="A18" s="3"/>
      <c r="B18" s="191"/>
      <c r="C18" s="192" t="s">
        <v>28</v>
      </c>
      <c r="D18" s="192" t="s">
        <v>418</v>
      </c>
      <c r="E18" s="192" t="s">
        <v>49</v>
      </c>
      <c r="F18" s="192" t="s">
        <v>336</v>
      </c>
      <c r="G18" s="192" t="s">
        <v>50</v>
      </c>
      <c r="H18" s="270" t="s">
        <v>29</v>
      </c>
      <c r="I18" s="270" t="s">
        <v>417</v>
      </c>
      <c r="J18" s="3"/>
      <c r="AB18" s="4" t="e">
        <f t="shared" si="3"/>
        <v>#VALUE!</v>
      </c>
      <c r="AC18" s="4" t="e">
        <f t="shared" si="4"/>
        <v>#VALUE!</v>
      </c>
      <c r="AD18" s="4" t="e">
        <f t="shared" si="5"/>
        <v>#VALUE!</v>
      </c>
      <c r="AE18" s="4" t="e">
        <f t="shared" si="0"/>
        <v>#VALUE!</v>
      </c>
      <c r="AF18" s="4" t="e">
        <f t="shared" si="1"/>
        <v>#VALUE!</v>
      </c>
      <c r="AG18" s="4" t="e">
        <f t="shared" si="2"/>
        <v>#N/A</v>
      </c>
    </row>
    <row r="19" spans="1:33">
      <c r="A19" s="3"/>
      <c r="B19" s="193" t="s">
        <v>1</v>
      </c>
      <c r="C19" s="142" t="s">
        <v>882</v>
      </c>
      <c r="D19" s="195" t="e">
        <f>IF(C5=AA1,CHOOSE(MATCH(C4,AA3:AA17,0),25,"N/A",27,15,16,20,29,17,26,30,13,7,24,19,"N/A"),CHOOSE(MATCH(C4,AA3:AA17,0),24,24,28,14,16,20,27,15,26,30,13,7,23,17,12))</f>
        <v>#N/A</v>
      </c>
      <c r="E19" s="142">
        <v>0</v>
      </c>
      <c r="F19" s="194" t="e">
        <f t="shared" ref="F19:F21" si="6">50+FLOOR(MAX((E19+C19-D19)/D19+0.5,0),0.5)/0.5*50</f>
        <v>#VALUE!</v>
      </c>
      <c r="G19" s="194">
        <f ca="1">IF(E19=0,0,SUM($AB$1:INDIRECT("$AB$"&amp;E19)))</f>
        <v>0</v>
      </c>
      <c r="H19" s="271" t="e">
        <f>C19+E19+IF(TYPE(MATCH("Mohutný",Character!D11:D15,0))&lt;&gt;16,3,0)-IF(TYPE(MATCH("Střízlík",Character!D11:D15,0))&lt;&gt;16,5,0)</f>
        <v>#VALUE!</v>
      </c>
      <c r="I19" s="274" t="e">
        <f t="shared" ref="I19:I23" si="7">INT(($H19-15)/2)</f>
        <v>#VALUE!</v>
      </c>
      <c r="J19" s="3"/>
      <c r="AB19" s="4" t="e">
        <f t="shared" si="3"/>
        <v>#VALUE!</v>
      </c>
      <c r="AC19" s="4" t="e">
        <f t="shared" si="4"/>
        <v>#VALUE!</v>
      </c>
      <c r="AD19" s="4" t="e">
        <f t="shared" si="5"/>
        <v>#VALUE!</v>
      </c>
      <c r="AE19" s="4" t="e">
        <f t="shared" si="0"/>
        <v>#VALUE!</v>
      </c>
      <c r="AF19" s="4" t="e">
        <f t="shared" si="1"/>
        <v>#VALUE!</v>
      </c>
      <c r="AG19" s="4" t="e">
        <f t="shared" si="2"/>
        <v>#N/A</v>
      </c>
    </row>
    <row r="20" spans="1:33">
      <c r="A20" s="3"/>
      <c r="B20" s="196" t="s">
        <v>2</v>
      </c>
      <c r="C20" s="143" t="s">
        <v>777</v>
      </c>
      <c r="D20" s="198" t="e">
        <f>IF(C5=AA1,CHOOSE(MATCH(C4,AA3:AA17,0),27,"N/A",25,23,29,28,18,28,20,14,27,30,23,27,"N/A"),CHOOSE(MATCH(C4,AA3:AA17,0),29,28,27,24,29,29,19,28,22,13,26,30,24,27,26))</f>
        <v>#N/A</v>
      </c>
      <c r="E20" s="143">
        <v>0</v>
      </c>
      <c r="F20" s="197" t="e">
        <f t="shared" si="6"/>
        <v>#VALUE!</v>
      </c>
      <c r="G20" s="197">
        <f ca="1">IF(E20=0,0,SUM($AC$1:INDIRECT("$AC$"&amp;E20)))</f>
        <v>0</v>
      </c>
      <c r="H20" s="272" t="e">
        <f>C20+E20-IF(TYPE(MATCH("Mohutný",Character!D11:D15,0))&lt;&gt;16,8,0)</f>
        <v>#VALUE!</v>
      </c>
      <c r="I20" s="275" t="e">
        <f t="shared" si="7"/>
        <v>#VALUE!</v>
      </c>
      <c r="J20" s="3"/>
      <c r="AB20" s="4" t="e">
        <f t="shared" si="3"/>
        <v>#VALUE!</v>
      </c>
      <c r="AC20" s="4" t="e">
        <f t="shared" si="4"/>
        <v>#VALUE!</v>
      </c>
      <c r="AD20" s="4" t="e">
        <f t="shared" si="5"/>
        <v>#VALUE!</v>
      </c>
      <c r="AE20" s="4" t="e">
        <f t="shared" si="0"/>
        <v>#VALUE!</v>
      </c>
      <c r="AF20" s="4" t="e">
        <f t="shared" si="1"/>
        <v>#VALUE!</v>
      </c>
      <c r="AG20" s="4" t="e">
        <f t="shared" si="2"/>
        <v>#N/A</v>
      </c>
    </row>
    <row r="21" spans="1:33">
      <c r="A21" s="3"/>
      <c r="B21" s="196" t="s">
        <v>0</v>
      </c>
      <c r="C21" s="143" t="s">
        <v>883</v>
      </c>
      <c r="D21" s="198" t="e">
        <f>IF(C5=AA1,CHOOSE(MATCH(C4,AA3:AA17,0),25,"N/A",26,16,15,19,30,21,24,30,24,8,24,24,"N/A"),CHOOSE(MATCH(C4,AA3:AA17,0),24,20,25,16,15,18,29,21,22,30,24,8,25,23,10))</f>
        <v>#N/A</v>
      </c>
      <c r="E21" s="143">
        <v>0</v>
      </c>
      <c r="F21" s="197" t="e">
        <f t="shared" si="6"/>
        <v>#VALUE!</v>
      </c>
      <c r="G21" s="197">
        <f ca="1">IF(E21=0,0,SUM($AD$1:INDIRECT("$AD$"&amp;E21)))</f>
        <v>0</v>
      </c>
      <c r="H21" s="272" t="e">
        <f>C21+E21+IF(TYPE(MATCH("Mohutný",Character!D11:D15,0))&lt;&gt;16,5,0)-IF(TYPE(MATCH("Střízlík",Character!D11:D15,0))&lt;&gt;16,5,0)</f>
        <v>#VALUE!</v>
      </c>
      <c r="I21" s="275" t="e">
        <f t="shared" si="7"/>
        <v>#VALUE!</v>
      </c>
      <c r="J21" s="3"/>
      <c r="AB21" s="4" t="e">
        <f t="shared" si="3"/>
        <v>#VALUE!</v>
      </c>
      <c r="AC21" s="4" t="e">
        <f t="shared" si="4"/>
        <v>#VALUE!</v>
      </c>
      <c r="AD21" s="4" t="e">
        <f t="shared" si="5"/>
        <v>#VALUE!</v>
      </c>
      <c r="AE21" s="4" t="e">
        <f t="shared" si="0"/>
        <v>#VALUE!</v>
      </c>
      <c r="AF21" s="4" t="e">
        <f t="shared" si="1"/>
        <v>#VALUE!</v>
      </c>
      <c r="AG21" s="4" t="e">
        <f t="shared" si="2"/>
        <v>#N/A</v>
      </c>
    </row>
    <row r="22" spans="1:33">
      <c r="A22" s="3"/>
      <c r="B22" s="196" t="s">
        <v>3</v>
      </c>
      <c r="C22" s="143" t="s">
        <v>778</v>
      </c>
      <c r="D22" s="198" t="e">
        <f>IF(C5=AA1,CHOOSE(MATCH(C4,AA3:AA17,0),26,"N/A",21,29,24,24,18,25,21,13,23,30,19,22,"N/A"),CHOOSE(MATCH(C4,AA3:AA17,0),26,20,21,29,25,25,19,25,23,14,24,30,19,23,24))</f>
        <v>#N/A</v>
      </c>
      <c r="E22" s="143">
        <v>0</v>
      </c>
      <c r="F22" s="197" t="e">
        <f>50+FLOOR(MAX((E22+C22-D22)/D22+0.5,0),0.5)/0.5*50</f>
        <v>#VALUE!</v>
      </c>
      <c r="G22" s="197">
        <f ca="1">IF(E22=0,0,SUM($AE$1:INDIRECT("$AE$"&amp;E22)))</f>
        <v>0</v>
      </c>
      <c r="H22" s="272" t="e">
        <f>C22+E22+IF(TYPE(MATCH("Střízlík",Character!D11:D15,0))&lt;&gt;16,5,0)</f>
        <v>#VALUE!</v>
      </c>
      <c r="I22" s="275" t="e">
        <f t="shared" si="7"/>
        <v>#VALUE!</v>
      </c>
      <c r="J22" s="3"/>
      <c r="AB22" s="4" t="e">
        <f t="shared" si="3"/>
        <v>#VALUE!</v>
      </c>
      <c r="AC22" s="4" t="e">
        <f t="shared" si="4"/>
        <v>#VALUE!</v>
      </c>
      <c r="AD22" s="4" t="e">
        <f t="shared" si="5"/>
        <v>#VALUE!</v>
      </c>
      <c r="AE22" s="4" t="e">
        <f t="shared" si="0"/>
        <v>#VALUE!</v>
      </c>
      <c r="AF22" s="4" t="e">
        <f t="shared" si="1"/>
        <v>#VALUE!</v>
      </c>
      <c r="AG22" s="4" t="e">
        <f t="shared" si="2"/>
        <v>#N/A</v>
      </c>
    </row>
    <row r="23" spans="1:33">
      <c r="A23" s="3"/>
      <c r="B23" s="196" t="s">
        <v>375</v>
      </c>
      <c r="C23" s="143" t="s">
        <v>779</v>
      </c>
      <c r="D23" s="198" t="e">
        <f>IF(C5=AA1,CHOOSE(MATCH(C4,AA3:AA17,0),25,"N/A",19,25,29,23,20,23,22,29,25,25,24,21,"N/A"),CHOOSE(MATCH(C4,AA3:AA17,0),25,22,19,25,28,23,19,23,20,29,24,25,23,21,27))</f>
        <v>#N/A</v>
      </c>
      <c r="E23" s="143">
        <v>0</v>
      </c>
      <c r="F23" s="197" t="e">
        <f>50+FLOOR(MAX((E23+C23-D23)/D23+0.5,0),0.5)/0.5*50</f>
        <v>#VALUE!</v>
      </c>
      <c r="G23" s="197">
        <f ca="1">IF(E23=0,0,SUM($AF$1:INDIRECT("$AF$"&amp;E23)))</f>
        <v>0</v>
      </c>
      <c r="H23" s="272" t="e">
        <f>C23+E23+IF(TYPE(MATCH("Střízlík",Character!D11:D15,0))&lt;&gt;16,5,0)</f>
        <v>#VALUE!</v>
      </c>
      <c r="I23" s="275" t="e">
        <f t="shared" si="7"/>
        <v>#VALUE!</v>
      </c>
      <c r="J23" s="3"/>
      <c r="AB23" s="4" t="e">
        <f t="shared" si="3"/>
        <v>#VALUE!</v>
      </c>
      <c r="AC23" s="4" t="e">
        <f t="shared" si="4"/>
        <v>#VALUE!</v>
      </c>
      <c r="AD23" s="4" t="e">
        <f t="shared" si="5"/>
        <v>#VALUE!</v>
      </c>
      <c r="AE23" s="4" t="e">
        <f t="shared" si="0"/>
        <v>#VALUE!</v>
      </c>
      <c r="AF23" s="4" t="e">
        <f t="shared" si="1"/>
        <v>#VALUE!</v>
      </c>
      <c r="AG23" s="4" t="e">
        <f t="shared" si="2"/>
        <v>#N/A</v>
      </c>
    </row>
    <row r="24" spans="1:33">
      <c r="A24" s="3"/>
      <c r="B24" s="196" t="s">
        <v>4</v>
      </c>
      <c r="C24" s="143"/>
      <c r="D24" s="198" t="e">
        <f>IF(C5=AA1,CHOOSE(MATCH(C4,AA3:AA17,0),27,"N/A",23,29,24,23,19,21,26,13,28,29,24,23,"N/A"),CHOOSE(MATCH(C4,AA3:AA17,0),27,24,23,29,24,23,21,22,26,13,29,29,24,25,30))</f>
        <v>#N/A</v>
      </c>
      <c r="E24" s="143">
        <v>0</v>
      </c>
      <c r="F24" s="206" t="e">
        <f>50+FLOOR(MAX((E24+C24-D24)/D24+0.5,0),0.5)/0.5*50</f>
        <v>#N/A</v>
      </c>
      <c r="G24" s="206">
        <f ca="1">IF(E24=0,0,SUM($AG$1:INDIRECT("$AG$"&amp;E24)))</f>
        <v>0</v>
      </c>
      <c r="H24" s="272">
        <f>C24+E24</f>
        <v>0</v>
      </c>
      <c r="I24" s="275">
        <f>INT(($H24-15)/2)</f>
        <v>-8</v>
      </c>
      <c r="J24" s="3"/>
      <c r="K24" s="3"/>
      <c r="AB24" s="4" t="e">
        <f t="shared" si="3"/>
        <v>#VALUE!</v>
      </c>
      <c r="AC24" s="4" t="e">
        <f t="shared" si="4"/>
        <v>#VALUE!</v>
      </c>
      <c r="AD24" s="4" t="e">
        <f t="shared" si="5"/>
        <v>#VALUE!</v>
      </c>
      <c r="AE24" s="4" t="e">
        <f t="shared" si="0"/>
        <v>#VALUE!</v>
      </c>
      <c r="AF24" s="4" t="e">
        <f t="shared" si="1"/>
        <v>#VALUE!</v>
      </c>
      <c r="AG24" s="4" t="e">
        <f t="shared" si="2"/>
        <v>#N/A</v>
      </c>
    </row>
    <row r="25" spans="1:33">
      <c r="A25" s="3"/>
      <c r="B25" s="199" t="s">
        <v>141</v>
      </c>
      <c r="C25" s="200" t="e">
        <f>(C19+C20)/2</f>
        <v>#VALUE!</v>
      </c>
      <c r="D25" s="200"/>
      <c r="E25" s="201"/>
      <c r="F25" s="201"/>
      <c r="G25" s="202"/>
      <c r="H25" s="273" t="e">
        <f>(H19+H20)/2</f>
        <v>#VALUE!</v>
      </c>
      <c r="I25" s="276" t="e">
        <f>INT(($H25-15)/2)</f>
        <v>#VALUE!</v>
      </c>
      <c r="J25" s="3"/>
      <c r="K25" s="3"/>
      <c r="AB25" s="4" t="e">
        <f t="shared" si="3"/>
        <v>#VALUE!</v>
      </c>
      <c r="AC25" s="4" t="e">
        <f t="shared" si="4"/>
        <v>#VALUE!</v>
      </c>
      <c r="AD25" s="4" t="e">
        <f t="shared" si="5"/>
        <v>#VALUE!</v>
      </c>
      <c r="AE25" s="4" t="e">
        <f t="shared" si="0"/>
        <v>#VALUE!</v>
      </c>
      <c r="AF25" s="4" t="e">
        <f t="shared" si="1"/>
        <v>#VALUE!</v>
      </c>
      <c r="AG25" s="4" t="e">
        <f t="shared" si="2"/>
        <v>#N/A</v>
      </c>
    </row>
    <row r="26" spans="1:33">
      <c r="A26" s="3"/>
      <c r="B26" s="203"/>
      <c r="C26" s="3"/>
      <c r="D26" s="3"/>
      <c r="E26" s="3"/>
      <c r="F26" s="3"/>
      <c r="G26" s="3"/>
      <c r="H26" s="3"/>
      <c r="I26" s="3"/>
      <c r="J26" s="3"/>
      <c r="K26" s="3"/>
      <c r="AB26" s="4" t="e">
        <f t="shared" si="3"/>
        <v>#VALUE!</v>
      </c>
      <c r="AC26" s="4" t="e">
        <f t="shared" si="4"/>
        <v>#VALUE!</v>
      </c>
      <c r="AD26" s="4" t="e">
        <f t="shared" si="5"/>
        <v>#VALUE!</v>
      </c>
      <c r="AE26" s="4" t="e">
        <f t="shared" si="0"/>
        <v>#VALUE!</v>
      </c>
      <c r="AF26" s="4" t="e">
        <f t="shared" si="1"/>
        <v>#VALUE!</v>
      </c>
      <c r="AG26" s="4" t="e">
        <f t="shared" si="2"/>
        <v>#N/A</v>
      </c>
    </row>
    <row r="27" spans="1:33">
      <c r="A27" s="3"/>
      <c r="B27" s="203"/>
      <c r="C27" s="3"/>
      <c r="D27" s="3"/>
      <c r="E27" s="3"/>
      <c r="F27" s="3"/>
      <c r="G27" s="3"/>
      <c r="H27" s="3"/>
      <c r="I27" s="3"/>
      <c r="J27" s="212"/>
      <c r="K27" s="3"/>
      <c r="AB27" s="4" t="e">
        <f t="shared" si="3"/>
        <v>#VALUE!</v>
      </c>
      <c r="AC27" s="4" t="e">
        <f t="shared" si="4"/>
        <v>#VALUE!</v>
      </c>
      <c r="AD27" s="4" t="e">
        <f t="shared" si="5"/>
        <v>#VALUE!</v>
      </c>
      <c r="AE27" s="4" t="e">
        <f t="shared" si="0"/>
        <v>#VALUE!</v>
      </c>
      <c r="AF27" s="4" t="e">
        <f t="shared" si="1"/>
        <v>#VALUE!</v>
      </c>
      <c r="AG27" s="4" t="e">
        <f t="shared" si="2"/>
        <v>#N/A</v>
      </c>
    </row>
    <row r="28" spans="1:33">
      <c r="C28" s="4"/>
      <c r="F28" s="4"/>
      <c r="AB28" s="4" t="e">
        <f t="shared" si="3"/>
        <v>#VALUE!</v>
      </c>
      <c r="AC28" s="4" t="e">
        <f t="shared" si="4"/>
        <v>#VALUE!</v>
      </c>
      <c r="AD28" s="4" t="e">
        <f t="shared" si="5"/>
        <v>#VALUE!</v>
      </c>
      <c r="AE28" s="4" t="e">
        <f t="shared" si="0"/>
        <v>#VALUE!</v>
      </c>
      <c r="AF28" s="4" t="e">
        <f t="shared" si="1"/>
        <v>#VALUE!</v>
      </c>
      <c r="AG28" s="4" t="e">
        <f t="shared" si="2"/>
        <v>#N/A</v>
      </c>
    </row>
    <row r="29" spans="1:33">
      <c r="AB29" s="4" t="e">
        <f t="shared" si="3"/>
        <v>#VALUE!</v>
      </c>
      <c r="AC29" s="4" t="e">
        <f t="shared" si="4"/>
        <v>#VALUE!</v>
      </c>
      <c r="AD29" s="4" t="e">
        <f t="shared" si="5"/>
        <v>#VALUE!</v>
      </c>
      <c r="AE29" s="4" t="e">
        <f t="shared" si="0"/>
        <v>#VALUE!</v>
      </c>
      <c r="AF29" s="4" t="e">
        <f t="shared" si="1"/>
        <v>#VALUE!</v>
      </c>
      <c r="AG29" s="4" t="e">
        <f t="shared" si="2"/>
        <v>#N/A</v>
      </c>
    </row>
    <row r="30" spans="1:33">
      <c r="AB30" s="4" t="e">
        <f t="shared" si="3"/>
        <v>#VALUE!</v>
      </c>
      <c r="AC30" s="4" t="e">
        <f t="shared" si="4"/>
        <v>#VALUE!</v>
      </c>
      <c r="AD30" s="4" t="e">
        <f t="shared" si="5"/>
        <v>#VALUE!</v>
      </c>
      <c r="AE30" s="4" t="e">
        <f t="shared" si="0"/>
        <v>#VALUE!</v>
      </c>
      <c r="AF30" s="4" t="e">
        <f t="shared" si="1"/>
        <v>#VALUE!</v>
      </c>
      <c r="AG30" s="4" t="e">
        <f t="shared" si="2"/>
        <v>#N/A</v>
      </c>
    </row>
    <row r="31" spans="1:33">
      <c r="AB31" s="4" t="e">
        <f t="shared" si="3"/>
        <v>#VALUE!</v>
      </c>
      <c r="AC31" s="4" t="e">
        <f t="shared" si="4"/>
        <v>#VALUE!</v>
      </c>
      <c r="AD31" s="4" t="e">
        <f t="shared" si="5"/>
        <v>#VALUE!</v>
      </c>
      <c r="AE31" s="4" t="e">
        <f t="shared" si="0"/>
        <v>#VALUE!</v>
      </c>
      <c r="AF31" s="4" t="e">
        <f t="shared" si="1"/>
        <v>#VALUE!</v>
      </c>
      <c r="AG31" s="4" t="e">
        <f t="shared" si="2"/>
        <v>#N/A</v>
      </c>
    </row>
    <row r="32" spans="1:33">
      <c r="AB32" s="4" t="e">
        <f t="shared" si="3"/>
        <v>#VALUE!</v>
      </c>
      <c r="AC32" s="4" t="e">
        <f t="shared" si="4"/>
        <v>#VALUE!</v>
      </c>
      <c r="AD32" s="4" t="e">
        <f t="shared" si="5"/>
        <v>#VALUE!</v>
      </c>
      <c r="AE32" s="4" t="e">
        <f t="shared" si="0"/>
        <v>#VALUE!</v>
      </c>
      <c r="AF32" s="4" t="e">
        <f t="shared" si="1"/>
        <v>#VALUE!</v>
      </c>
      <c r="AG32" s="4" t="e">
        <f t="shared" si="2"/>
        <v>#N/A</v>
      </c>
    </row>
    <row r="33" spans="2:33">
      <c r="AB33" s="4" t="e">
        <f t="shared" si="3"/>
        <v>#VALUE!</v>
      </c>
      <c r="AC33" s="4" t="e">
        <f t="shared" si="4"/>
        <v>#VALUE!</v>
      </c>
      <c r="AD33" s="4" t="e">
        <f t="shared" si="5"/>
        <v>#VALUE!</v>
      </c>
      <c r="AE33" s="4" t="e">
        <f t="shared" ref="AE33:AE50" si="8">50+FLOOR(MAX((ROW()-1+$C$22-$D$22)/$D$22+0.5,0),0.5)/0.5*50</f>
        <v>#VALUE!</v>
      </c>
      <c r="AF33" s="4" t="e">
        <f t="shared" ref="AF33:AF50" si="9">50+FLOOR(MAX((ROW()-1+$C$23-$D$23)/$D$23+0.5,0),0.5)/0.5*50</f>
        <v>#VALUE!</v>
      </c>
      <c r="AG33" s="4" t="e">
        <f t="shared" ref="AG33:AG50" si="10">50+FLOOR(MAX((ROW()-1+$C$24-$D$24)/$D$24+0.5,0),0.5)/0.5*50</f>
        <v>#N/A</v>
      </c>
    </row>
    <row r="34" spans="2:33">
      <c r="B34" s="304"/>
      <c r="AB34" s="4" t="e">
        <f t="shared" si="3"/>
        <v>#VALUE!</v>
      </c>
      <c r="AC34" s="4" t="e">
        <f t="shared" si="4"/>
        <v>#VALUE!</v>
      </c>
      <c r="AD34" s="4" t="e">
        <f t="shared" si="5"/>
        <v>#VALUE!</v>
      </c>
      <c r="AE34" s="4" t="e">
        <f t="shared" si="8"/>
        <v>#VALUE!</v>
      </c>
      <c r="AF34" s="4" t="e">
        <f t="shared" si="9"/>
        <v>#VALUE!</v>
      </c>
      <c r="AG34" s="4" t="e">
        <f t="shared" si="10"/>
        <v>#N/A</v>
      </c>
    </row>
    <row r="35" spans="2:33">
      <c r="B35" s="304"/>
      <c r="AB35" s="4" t="e">
        <f t="shared" si="3"/>
        <v>#VALUE!</v>
      </c>
      <c r="AC35" s="4" t="e">
        <f t="shared" si="4"/>
        <v>#VALUE!</v>
      </c>
      <c r="AD35" s="4" t="e">
        <f t="shared" si="5"/>
        <v>#VALUE!</v>
      </c>
      <c r="AE35" s="4" t="e">
        <f t="shared" si="8"/>
        <v>#VALUE!</v>
      </c>
      <c r="AF35" s="4" t="e">
        <f t="shared" si="9"/>
        <v>#VALUE!</v>
      </c>
      <c r="AG35" s="4" t="e">
        <f t="shared" si="10"/>
        <v>#N/A</v>
      </c>
    </row>
    <row r="36" spans="2:33">
      <c r="B36" s="304"/>
      <c r="AB36" s="4" t="e">
        <f t="shared" si="3"/>
        <v>#VALUE!</v>
      </c>
      <c r="AC36" s="4" t="e">
        <f t="shared" si="4"/>
        <v>#VALUE!</v>
      </c>
      <c r="AD36" s="4" t="e">
        <f t="shared" si="5"/>
        <v>#VALUE!</v>
      </c>
      <c r="AE36" s="4" t="e">
        <f t="shared" si="8"/>
        <v>#VALUE!</v>
      </c>
      <c r="AF36" s="4" t="e">
        <f t="shared" si="9"/>
        <v>#VALUE!</v>
      </c>
      <c r="AG36" s="4" t="e">
        <f t="shared" si="10"/>
        <v>#N/A</v>
      </c>
    </row>
    <row r="37" spans="2:33">
      <c r="AB37" s="4" t="e">
        <f t="shared" si="3"/>
        <v>#VALUE!</v>
      </c>
      <c r="AC37" s="4" t="e">
        <f t="shared" si="4"/>
        <v>#VALUE!</v>
      </c>
      <c r="AD37" s="4" t="e">
        <f t="shared" si="5"/>
        <v>#VALUE!</v>
      </c>
      <c r="AE37" s="4" t="e">
        <f t="shared" si="8"/>
        <v>#VALUE!</v>
      </c>
      <c r="AF37" s="4" t="e">
        <f t="shared" si="9"/>
        <v>#VALUE!</v>
      </c>
      <c r="AG37" s="4" t="e">
        <f t="shared" si="10"/>
        <v>#N/A</v>
      </c>
    </row>
    <row r="38" spans="2:33">
      <c r="AB38" s="4" t="e">
        <f t="shared" si="3"/>
        <v>#VALUE!</v>
      </c>
      <c r="AC38" s="4" t="e">
        <f t="shared" si="4"/>
        <v>#VALUE!</v>
      </c>
      <c r="AD38" s="4" t="e">
        <f t="shared" si="5"/>
        <v>#VALUE!</v>
      </c>
      <c r="AE38" s="4" t="e">
        <f t="shared" si="8"/>
        <v>#VALUE!</v>
      </c>
      <c r="AF38" s="4" t="e">
        <f t="shared" si="9"/>
        <v>#VALUE!</v>
      </c>
      <c r="AG38" s="4" t="e">
        <f t="shared" si="10"/>
        <v>#N/A</v>
      </c>
    </row>
    <row r="39" spans="2:33">
      <c r="AB39" s="4" t="e">
        <f t="shared" si="3"/>
        <v>#VALUE!</v>
      </c>
      <c r="AC39" s="4" t="e">
        <f t="shared" si="4"/>
        <v>#VALUE!</v>
      </c>
      <c r="AD39" s="4" t="e">
        <f t="shared" si="5"/>
        <v>#VALUE!</v>
      </c>
      <c r="AE39" s="4" t="e">
        <f t="shared" si="8"/>
        <v>#VALUE!</v>
      </c>
      <c r="AF39" s="4" t="e">
        <f t="shared" si="9"/>
        <v>#VALUE!</v>
      </c>
      <c r="AG39" s="4" t="e">
        <f t="shared" si="10"/>
        <v>#N/A</v>
      </c>
    </row>
    <row r="40" spans="2:33">
      <c r="AB40" s="4" t="e">
        <f t="shared" si="3"/>
        <v>#VALUE!</v>
      </c>
      <c r="AC40" s="4" t="e">
        <f t="shared" si="4"/>
        <v>#VALUE!</v>
      </c>
      <c r="AD40" s="4" t="e">
        <f t="shared" si="5"/>
        <v>#VALUE!</v>
      </c>
      <c r="AE40" s="4" t="e">
        <f t="shared" si="8"/>
        <v>#VALUE!</v>
      </c>
      <c r="AF40" s="4" t="e">
        <f t="shared" si="9"/>
        <v>#VALUE!</v>
      </c>
      <c r="AG40" s="4" t="e">
        <f t="shared" si="10"/>
        <v>#N/A</v>
      </c>
    </row>
    <row r="41" spans="2:33">
      <c r="AB41" s="4" t="e">
        <f t="shared" si="3"/>
        <v>#VALUE!</v>
      </c>
      <c r="AC41" s="4" t="e">
        <f t="shared" si="4"/>
        <v>#VALUE!</v>
      </c>
      <c r="AD41" s="4" t="e">
        <f t="shared" si="5"/>
        <v>#VALUE!</v>
      </c>
      <c r="AE41" s="4" t="e">
        <f t="shared" si="8"/>
        <v>#VALUE!</v>
      </c>
      <c r="AF41" s="4" t="e">
        <f t="shared" si="9"/>
        <v>#VALUE!</v>
      </c>
      <c r="AG41" s="4" t="e">
        <f t="shared" si="10"/>
        <v>#N/A</v>
      </c>
    </row>
    <row r="42" spans="2:33">
      <c r="AB42" s="4" t="e">
        <f t="shared" si="3"/>
        <v>#VALUE!</v>
      </c>
      <c r="AC42" s="4" t="e">
        <f t="shared" si="4"/>
        <v>#VALUE!</v>
      </c>
      <c r="AD42" s="4" t="e">
        <f t="shared" si="5"/>
        <v>#VALUE!</v>
      </c>
      <c r="AE42" s="4" t="e">
        <f t="shared" si="8"/>
        <v>#VALUE!</v>
      </c>
      <c r="AF42" s="4" t="e">
        <f t="shared" si="9"/>
        <v>#VALUE!</v>
      </c>
      <c r="AG42" s="4" t="e">
        <f t="shared" si="10"/>
        <v>#N/A</v>
      </c>
    </row>
    <row r="43" spans="2:33">
      <c r="AB43" s="4" t="e">
        <f t="shared" si="3"/>
        <v>#VALUE!</v>
      </c>
      <c r="AC43" s="4" t="e">
        <f t="shared" si="4"/>
        <v>#VALUE!</v>
      </c>
      <c r="AD43" s="4" t="e">
        <f t="shared" si="5"/>
        <v>#VALUE!</v>
      </c>
      <c r="AE43" s="4" t="e">
        <f t="shared" si="8"/>
        <v>#VALUE!</v>
      </c>
      <c r="AF43" s="4" t="e">
        <f t="shared" si="9"/>
        <v>#VALUE!</v>
      </c>
      <c r="AG43" s="4" t="e">
        <f t="shared" si="10"/>
        <v>#N/A</v>
      </c>
    </row>
    <row r="44" spans="2:33">
      <c r="AB44" s="4" t="e">
        <f t="shared" si="3"/>
        <v>#VALUE!</v>
      </c>
      <c r="AC44" s="4" t="e">
        <f t="shared" si="4"/>
        <v>#VALUE!</v>
      </c>
      <c r="AD44" s="4" t="e">
        <f t="shared" si="5"/>
        <v>#VALUE!</v>
      </c>
      <c r="AE44" s="4" t="e">
        <f t="shared" si="8"/>
        <v>#VALUE!</v>
      </c>
      <c r="AF44" s="4" t="e">
        <f t="shared" si="9"/>
        <v>#VALUE!</v>
      </c>
      <c r="AG44" s="4" t="e">
        <f t="shared" si="10"/>
        <v>#N/A</v>
      </c>
    </row>
    <row r="45" spans="2:33">
      <c r="AB45" s="4" t="e">
        <f t="shared" si="3"/>
        <v>#VALUE!</v>
      </c>
      <c r="AC45" s="4" t="e">
        <f t="shared" si="4"/>
        <v>#VALUE!</v>
      </c>
      <c r="AD45" s="4" t="e">
        <f t="shared" si="5"/>
        <v>#VALUE!</v>
      </c>
      <c r="AE45" s="4" t="e">
        <f t="shared" si="8"/>
        <v>#VALUE!</v>
      </c>
      <c r="AF45" s="4" t="e">
        <f t="shared" si="9"/>
        <v>#VALUE!</v>
      </c>
      <c r="AG45" s="4" t="e">
        <f t="shared" si="10"/>
        <v>#N/A</v>
      </c>
    </row>
    <row r="46" spans="2:33">
      <c r="AB46" s="4" t="e">
        <f t="shared" si="3"/>
        <v>#VALUE!</v>
      </c>
      <c r="AC46" s="4" t="e">
        <f t="shared" si="4"/>
        <v>#VALUE!</v>
      </c>
      <c r="AD46" s="4" t="e">
        <f t="shared" si="5"/>
        <v>#VALUE!</v>
      </c>
      <c r="AE46" s="4" t="e">
        <f t="shared" si="8"/>
        <v>#VALUE!</v>
      </c>
      <c r="AF46" s="4" t="e">
        <f t="shared" si="9"/>
        <v>#VALUE!</v>
      </c>
      <c r="AG46" s="4" t="e">
        <f t="shared" si="10"/>
        <v>#N/A</v>
      </c>
    </row>
    <row r="47" spans="2:33">
      <c r="AB47" s="4" t="e">
        <f t="shared" si="3"/>
        <v>#VALUE!</v>
      </c>
      <c r="AC47" s="4" t="e">
        <f t="shared" si="4"/>
        <v>#VALUE!</v>
      </c>
      <c r="AD47" s="4" t="e">
        <f t="shared" si="5"/>
        <v>#VALUE!</v>
      </c>
      <c r="AE47" s="4" t="e">
        <f t="shared" si="8"/>
        <v>#VALUE!</v>
      </c>
      <c r="AF47" s="4" t="e">
        <f t="shared" si="9"/>
        <v>#VALUE!</v>
      </c>
      <c r="AG47" s="4" t="e">
        <f t="shared" si="10"/>
        <v>#N/A</v>
      </c>
    </row>
    <row r="48" spans="2:33">
      <c r="AB48" s="4" t="e">
        <f t="shared" si="3"/>
        <v>#VALUE!</v>
      </c>
      <c r="AC48" s="4" t="e">
        <f t="shared" si="4"/>
        <v>#VALUE!</v>
      </c>
      <c r="AD48" s="4" t="e">
        <f t="shared" si="5"/>
        <v>#VALUE!</v>
      </c>
      <c r="AE48" s="4" t="e">
        <f t="shared" si="8"/>
        <v>#VALUE!</v>
      </c>
      <c r="AF48" s="4" t="e">
        <f t="shared" si="9"/>
        <v>#VALUE!</v>
      </c>
      <c r="AG48" s="4" t="e">
        <f t="shared" si="10"/>
        <v>#N/A</v>
      </c>
    </row>
    <row r="49" spans="28:33">
      <c r="AB49" s="4" t="e">
        <f t="shared" si="3"/>
        <v>#VALUE!</v>
      </c>
      <c r="AC49" s="4" t="e">
        <f t="shared" si="4"/>
        <v>#VALUE!</v>
      </c>
      <c r="AD49" s="4" t="e">
        <f t="shared" si="5"/>
        <v>#VALUE!</v>
      </c>
      <c r="AE49" s="4" t="e">
        <f t="shared" si="8"/>
        <v>#VALUE!</v>
      </c>
      <c r="AF49" s="4" t="e">
        <f t="shared" si="9"/>
        <v>#VALUE!</v>
      </c>
      <c r="AG49" s="4" t="e">
        <f t="shared" si="10"/>
        <v>#N/A</v>
      </c>
    </row>
    <row r="50" spans="28:33">
      <c r="AB50" s="4" t="e">
        <f t="shared" si="3"/>
        <v>#VALUE!</v>
      </c>
      <c r="AC50" s="4" t="e">
        <f t="shared" si="4"/>
        <v>#VALUE!</v>
      </c>
      <c r="AD50" s="4" t="e">
        <f t="shared" si="5"/>
        <v>#VALUE!</v>
      </c>
      <c r="AE50" s="4" t="e">
        <f t="shared" si="8"/>
        <v>#VALUE!</v>
      </c>
      <c r="AF50" s="4" t="e">
        <f t="shared" si="9"/>
        <v>#VALUE!</v>
      </c>
      <c r="AG50" s="4" t="e">
        <f t="shared" si="10"/>
        <v>#N/A</v>
      </c>
    </row>
  </sheetData>
  <mergeCells count="24">
    <mergeCell ref="J11:M11"/>
    <mergeCell ref="J12:M12"/>
    <mergeCell ref="J13:M13"/>
    <mergeCell ref="J14:M14"/>
    <mergeCell ref="J15:M15"/>
    <mergeCell ref="B17:I17"/>
    <mergeCell ref="D11:E11"/>
    <mergeCell ref="D12:E12"/>
    <mergeCell ref="D13:E13"/>
    <mergeCell ref="D14:E14"/>
    <mergeCell ref="D15:E15"/>
    <mergeCell ref="F11:I11"/>
    <mergeCell ref="F12:I12"/>
    <mergeCell ref="F13:I13"/>
    <mergeCell ref="F14:I14"/>
    <mergeCell ref="F15:I15"/>
    <mergeCell ref="D10:M10"/>
    <mergeCell ref="B2:D2"/>
    <mergeCell ref="C8:D8"/>
    <mergeCell ref="C5:D5"/>
    <mergeCell ref="C3:D3"/>
    <mergeCell ref="C4:D4"/>
    <mergeCell ref="C6:D6"/>
    <mergeCell ref="C7:D7"/>
  </mergeCells>
  <dataValidations count="3">
    <dataValidation type="list" showInputMessage="1" showErrorMessage="1" sqref="C4:D4">
      <formula1>$AA$3:$AA$17</formula1>
    </dataValidation>
    <dataValidation type="list" allowBlank="1" showInputMessage="1" showErrorMessage="1" sqref="C5:D5">
      <formula1>IF(OR($C$4=$AA$4,$C$4=$AA$17),$AA$2,$AA$1:$AA$2)</formula1>
    </dataValidation>
    <dataValidation type="list" allowBlank="1" showInputMessage="1" showErrorMessage="1" sqref="D11:E15">
      <formula1>'Perks &amp; Skills'!$B$4:$B$65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theme="1"/>
  </sheetPr>
  <dimension ref="A1:AF125"/>
  <sheetViews>
    <sheetView workbookViewId="0"/>
  </sheetViews>
  <sheetFormatPr defaultRowHeight="15"/>
  <cols>
    <col min="2" max="2" width="16.28515625" style="1" customWidth="1"/>
    <col min="3" max="3" width="32.7109375" customWidth="1"/>
    <col min="4" max="19" width="10.7109375" customWidth="1"/>
    <col min="27" max="28" width="9.140625" hidden="1" customWidth="1"/>
    <col min="29" max="29" width="10" hidden="1" customWidth="1"/>
    <col min="30" max="30" width="9.140625" hidden="1" customWidth="1"/>
  </cols>
  <sheetData>
    <row r="1" spans="2:32">
      <c r="AA1" s="4"/>
      <c r="AD1" s="4"/>
      <c r="AE1" s="4"/>
      <c r="AF1" s="4"/>
    </row>
    <row r="2" spans="2:32" ht="15" customHeight="1">
      <c r="B2" s="98" t="s">
        <v>48</v>
      </c>
      <c r="C2" s="97" t="s">
        <v>52</v>
      </c>
      <c r="D2" s="97" t="s">
        <v>53</v>
      </c>
      <c r="E2" s="97" t="s">
        <v>85</v>
      </c>
      <c r="F2" s="97" t="s">
        <v>84</v>
      </c>
      <c r="G2" s="97" t="s">
        <v>86</v>
      </c>
      <c r="H2" s="97" t="s">
        <v>87</v>
      </c>
      <c r="I2" s="97" t="s">
        <v>88</v>
      </c>
      <c r="J2" s="97" t="s">
        <v>89</v>
      </c>
      <c r="K2" s="97" t="s">
        <v>90</v>
      </c>
      <c r="L2" s="97" t="s">
        <v>91</v>
      </c>
      <c r="M2" s="97" t="s">
        <v>92</v>
      </c>
      <c r="N2" s="97" t="s">
        <v>93</v>
      </c>
      <c r="O2" s="97" t="s">
        <v>94</v>
      </c>
      <c r="P2" s="97" t="s">
        <v>14</v>
      </c>
      <c r="Q2" s="97" t="s">
        <v>1</v>
      </c>
      <c r="R2" s="97" t="s">
        <v>2</v>
      </c>
      <c r="S2" s="97" t="s">
        <v>70</v>
      </c>
      <c r="AA2" s="185" t="s">
        <v>201</v>
      </c>
      <c r="AB2" s="241" t="s">
        <v>455</v>
      </c>
      <c r="AD2" s="4" t="s">
        <v>453</v>
      </c>
    </row>
    <row r="3" spans="2:32" ht="15" customHeight="1">
      <c r="B3" s="103" t="s">
        <v>297</v>
      </c>
      <c r="C3" s="90" t="s">
        <v>71</v>
      </c>
      <c r="D3" s="21">
        <v>1</v>
      </c>
      <c r="E3" s="21" t="e">
        <f>MAX(Character!$I$20,0)+8</f>
        <v>#VALUE!</v>
      </c>
      <c r="F3" s="42"/>
      <c r="G3" s="21">
        <v>3</v>
      </c>
      <c r="H3" s="42"/>
      <c r="I3" s="278">
        <v>1</v>
      </c>
      <c r="J3" s="42"/>
      <c r="K3" s="21" t="s">
        <v>72</v>
      </c>
      <c r="L3" s="42"/>
      <c r="M3" s="21">
        <v>-6</v>
      </c>
      <c r="N3" s="42"/>
      <c r="O3" s="21">
        <v>1</v>
      </c>
      <c r="P3" s="21">
        <v>0.5</v>
      </c>
      <c r="Q3" s="34"/>
      <c r="R3" s="34"/>
      <c r="S3" s="21">
        <v>6</v>
      </c>
      <c r="AA3" s="185" t="s">
        <v>142</v>
      </c>
      <c r="AB3" s="25" t="s">
        <v>201</v>
      </c>
      <c r="AD3" s="4" t="s">
        <v>454</v>
      </c>
    </row>
    <row r="4" spans="2:32" ht="15" customHeight="1">
      <c r="B4" s="104" t="s">
        <v>297</v>
      </c>
      <c r="C4" s="90" t="s">
        <v>73</v>
      </c>
      <c r="D4" s="21">
        <v>1</v>
      </c>
      <c r="E4" s="21" t="e">
        <f>MAX(Character!$I$20,0)+5</f>
        <v>#VALUE!</v>
      </c>
      <c r="F4" s="42"/>
      <c r="G4" s="21">
        <v>14</v>
      </c>
      <c r="H4" s="42"/>
      <c r="I4" s="278">
        <v>-1</v>
      </c>
      <c r="J4" s="42"/>
      <c r="K4" s="21" t="s">
        <v>74</v>
      </c>
      <c r="L4" s="42"/>
      <c r="M4" s="21">
        <v>-6</v>
      </c>
      <c r="N4" s="42"/>
      <c r="O4" s="21">
        <v>1</v>
      </c>
      <c r="P4" s="21">
        <v>0.4</v>
      </c>
      <c r="Q4" s="34"/>
      <c r="R4" s="21">
        <v>10</v>
      </c>
      <c r="S4" s="21">
        <v>10</v>
      </c>
      <c r="AA4" s="185" t="s">
        <v>158</v>
      </c>
      <c r="AB4" s="25" t="s">
        <v>142</v>
      </c>
      <c r="AF4" s="4"/>
    </row>
    <row r="5" spans="2:32" ht="15" customHeight="1">
      <c r="B5" s="104" t="s">
        <v>297</v>
      </c>
      <c r="C5" s="90" t="s">
        <v>75</v>
      </c>
      <c r="D5" s="21">
        <v>1</v>
      </c>
      <c r="E5" s="21" t="e">
        <f>MAX(Character!$I$20,0)+7</f>
        <v>#VALUE!</v>
      </c>
      <c r="F5" s="42"/>
      <c r="G5" s="21">
        <v>7</v>
      </c>
      <c r="H5" s="42"/>
      <c r="I5" s="278">
        <v>0</v>
      </c>
      <c r="J5" s="42"/>
      <c r="K5" s="21" t="s">
        <v>76</v>
      </c>
      <c r="L5" s="42"/>
      <c r="M5" s="21">
        <v>-7</v>
      </c>
      <c r="N5" s="42"/>
      <c r="O5" s="21">
        <v>1</v>
      </c>
      <c r="P5" s="21">
        <v>0.5</v>
      </c>
      <c r="Q5" s="21">
        <v>6</v>
      </c>
      <c r="R5" s="34"/>
      <c r="S5" s="21">
        <v>8</v>
      </c>
      <c r="AA5" s="185" t="s">
        <v>73</v>
      </c>
      <c r="AB5" s="25" t="s">
        <v>158</v>
      </c>
      <c r="AF5" s="4"/>
    </row>
    <row r="6" spans="2:32" ht="15" customHeight="1">
      <c r="B6" s="104" t="s">
        <v>297</v>
      </c>
      <c r="C6" s="90" t="s">
        <v>77</v>
      </c>
      <c r="D6" s="21">
        <v>1</v>
      </c>
      <c r="E6" s="21" t="e">
        <f>MAX(Character!$I$20,0)+10</f>
        <v>#VALUE!</v>
      </c>
      <c r="F6" s="42"/>
      <c r="G6" s="21">
        <v>5</v>
      </c>
      <c r="H6" s="42"/>
      <c r="I6" s="278">
        <v>4</v>
      </c>
      <c r="J6" s="42"/>
      <c r="K6" s="21" t="s">
        <v>72</v>
      </c>
      <c r="L6" s="42"/>
      <c r="M6" s="21">
        <v>-7</v>
      </c>
      <c r="N6" s="42"/>
      <c r="O6" s="21">
        <v>2</v>
      </c>
      <c r="P6" s="21">
        <v>0.6</v>
      </c>
      <c r="Q6" s="21">
        <v>4</v>
      </c>
      <c r="R6" s="21">
        <v>7</v>
      </c>
      <c r="S6" s="21">
        <v>12</v>
      </c>
      <c r="AA6" s="185" t="s">
        <v>168</v>
      </c>
      <c r="AB6" s="25" t="s">
        <v>168</v>
      </c>
      <c r="AF6" s="4"/>
    </row>
    <row r="7" spans="2:32" ht="15" customHeight="1">
      <c r="B7" s="104" t="s">
        <v>297</v>
      </c>
      <c r="C7" s="90" t="s">
        <v>78</v>
      </c>
      <c r="D7" s="21">
        <v>1</v>
      </c>
      <c r="E7" s="21" t="e">
        <f>MAX(Character!$I$20,0)+11</f>
        <v>#VALUE!</v>
      </c>
      <c r="F7" s="42"/>
      <c r="G7" s="21">
        <v>1</v>
      </c>
      <c r="H7" s="42"/>
      <c r="I7" s="278">
        <v>-1</v>
      </c>
      <c r="J7" s="42"/>
      <c r="K7" s="21" t="s">
        <v>79</v>
      </c>
      <c r="L7" s="42"/>
      <c r="M7" s="21">
        <v>-6</v>
      </c>
      <c r="N7" s="42"/>
      <c r="O7" s="21">
        <v>2</v>
      </c>
      <c r="P7" s="21">
        <v>0.6</v>
      </c>
      <c r="Q7" s="21">
        <v>4</v>
      </c>
      <c r="R7" s="21">
        <v>4</v>
      </c>
      <c r="S7" s="21">
        <v>5</v>
      </c>
      <c r="AA7" s="185" t="s">
        <v>175</v>
      </c>
      <c r="AB7" s="25" t="s">
        <v>175</v>
      </c>
      <c r="AF7" s="4"/>
    </row>
    <row r="8" spans="2:32" ht="15" customHeight="1">
      <c r="B8" s="104" t="s">
        <v>297</v>
      </c>
      <c r="C8" s="90" t="s">
        <v>80</v>
      </c>
      <c r="D8" s="21">
        <v>1</v>
      </c>
      <c r="E8" s="21" t="e">
        <f>MAX(Character!$I$25,0)+5</f>
        <v>#VALUE!</v>
      </c>
      <c r="F8" s="34"/>
      <c r="G8" s="21">
        <v>11</v>
      </c>
      <c r="H8" s="34"/>
      <c r="I8" s="278">
        <v>2</v>
      </c>
      <c r="J8" s="34"/>
      <c r="K8" s="21" t="s">
        <v>72</v>
      </c>
      <c r="L8" s="34"/>
      <c r="M8" s="21">
        <v>-7</v>
      </c>
      <c r="N8" s="34"/>
      <c r="O8" s="21">
        <v>2</v>
      </c>
      <c r="P8" s="21">
        <v>0.6</v>
      </c>
      <c r="Q8" s="21">
        <v>7</v>
      </c>
      <c r="R8" s="21">
        <v>8</v>
      </c>
      <c r="S8" s="21">
        <v>14</v>
      </c>
      <c r="AA8" s="185" t="s">
        <v>207</v>
      </c>
      <c r="AB8" s="25" t="s">
        <v>207</v>
      </c>
      <c r="AE8" s="4"/>
      <c r="AF8" s="4"/>
    </row>
    <row r="9" spans="2:32" ht="15" customHeight="1">
      <c r="B9" s="104" t="s">
        <v>297</v>
      </c>
      <c r="C9" s="90" t="s">
        <v>81</v>
      </c>
      <c r="D9" s="21">
        <v>1</v>
      </c>
      <c r="E9" s="21" t="e">
        <f>MAX(Character!$I$25,0)+9</f>
        <v>#VALUE!</v>
      </c>
      <c r="F9" s="34"/>
      <c r="G9" s="21">
        <v>3</v>
      </c>
      <c r="H9" s="34"/>
      <c r="I9" s="278">
        <v>3</v>
      </c>
      <c r="J9" s="34"/>
      <c r="K9" s="21" t="s">
        <v>76</v>
      </c>
      <c r="L9" s="34"/>
      <c r="M9" s="21">
        <v>-7</v>
      </c>
      <c r="N9" s="34"/>
      <c r="O9" s="21">
        <v>2</v>
      </c>
      <c r="P9" s="21">
        <v>0.6</v>
      </c>
      <c r="Q9" s="21">
        <v>7</v>
      </c>
      <c r="R9" s="21">
        <v>4</v>
      </c>
      <c r="S9" s="21">
        <v>7</v>
      </c>
      <c r="AA9" s="185" t="s">
        <v>156</v>
      </c>
      <c r="AB9" s="25" t="s">
        <v>156</v>
      </c>
      <c r="AE9" s="4"/>
      <c r="AF9" s="4"/>
    </row>
    <row r="10" spans="2:32" ht="15" customHeight="1">
      <c r="B10" s="104" t="s">
        <v>297</v>
      </c>
      <c r="C10" s="90" t="s">
        <v>82</v>
      </c>
      <c r="D10" s="21">
        <v>1</v>
      </c>
      <c r="E10" s="21" t="e">
        <f>MAX(Character!$I$25,0)+4</f>
        <v>#VALUE!</v>
      </c>
      <c r="F10" s="34"/>
      <c r="G10" s="21">
        <v>4</v>
      </c>
      <c r="H10" s="34"/>
      <c r="I10" s="278">
        <v>1</v>
      </c>
      <c r="J10" s="34"/>
      <c r="K10" s="21" t="s">
        <v>83</v>
      </c>
      <c r="L10" s="34"/>
      <c r="M10" s="21">
        <v>-8</v>
      </c>
      <c r="N10" s="34"/>
      <c r="O10" s="21">
        <v>3</v>
      </c>
      <c r="P10" s="21">
        <v>0.7</v>
      </c>
      <c r="Q10" s="21">
        <v>9</v>
      </c>
      <c r="R10" s="21">
        <v>10</v>
      </c>
      <c r="S10" s="21">
        <v>9</v>
      </c>
      <c r="AA10" s="185" t="s">
        <v>167</v>
      </c>
      <c r="AB10" s="25" t="s">
        <v>167</v>
      </c>
      <c r="AE10" s="4"/>
      <c r="AF10" s="4"/>
    </row>
    <row r="11" spans="2:32" s="4" customFormat="1" ht="15" customHeight="1">
      <c r="B11" s="104" t="s">
        <v>297</v>
      </c>
      <c r="C11" s="59" t="s">
        <v>235</v>
      </c>
      <c r="D11" s="21">
        <v>1</v>
      </c>
      <c r="E11" s="21" t="e">
        <f>MAX(Character!$I$25,0)+2</f>
        <v>#VALUE!</v>
      </c>
      <c r="F11" s="21"/>
      <c r="G11" s="21">
        <v>4</v>
      </c>
      <c r="H11" s="21"/>
      <c r="I11" s="278">
        <v>1</v>
      </c>
      <c r="J11" s="21"/>
      <c r="K11" s="21" t="s">
        <v>74</v>
      </c>
      <c r="L11" s="21"/>
      <c r="M11" s="21">
        <v>-7</v>
      </c>
      <c r="N11" s="21"/>
      <c r="O11" s="21">
        <v>2</v>
      </c>
      <c r="P11" s="21">
        <v>0.2</v>
      </c>
      <c r="Q11" s="21"/>
      <c r="R11" s="21">
        <v>6</v>
      </c>
      <c r="S11" s="21">
        <v>2</v>
      </c>
      <c r="AA11" s="185" t="s">
        <v>192</v>
      </c>
      <c r="AB11" s="25" t="s">
        <v>192</v>
      </c>
    </row>
    <row r="12" spans="2:32" s="4" customFormat="1" ht="15" customHeight="1">
      <c r="B12" s="105" t="s">
        <v>297</v>
      </c>
      <c r="C12" s="91" t="s">
        <v>236</v>
      </c>
      <c r="D12" s="22">
        <v>1</v>
      </c>
      <c r="E12" s="22" t="e">
        <f>MAX(Character!$I$20,0)+4</f>
        <v>#VALUE!</v>
      </c>
      <c r="F12" s="22"/>
      <c r="G12" s="22">
        <v>0</v>
      </c>
      <c r="H12" s="22"/>
      <c r="I12" s="279">
        <v>-1</v>
      </c>
      <c r="J12" s="22"/>
      <c r="K12" s="22" t="s">
        <v>72</v>
      </c>
      <c r="L12" s="22"/>
      <c r="M12" s="22">
        <v>-4</v>
      </c>
      <c r="N12" s="22"/>
      <c r="O12" s="22">
        <v>1</v>
      </c>
      <c r="P12" s="22">
        <v>0.2</v>
      </c>
      <c r="Q12" s="22"/>
      <c r="R12" s="22">
        <v>7</v>
      </c>
      <c r="S12" s="22">
        <v>3</v>
      </c>
      <c r="AA12" s="185" t="s">
        <v>203</v>
      </c>
      <c r="AB12" s="25" t="s">
        <v>203</v>
      </c>
    </row>
    <row r="13" spans="2:32" ht="15" customHeight="1">
      <c r="B13" s="103" t="s">
        <v>315</v>
      </c>
      <c r="C13" s="106" t="s">
        <v>95</v>
      </c>
      <c r="D13" s="35">
        <v>1</v>
      </c>
      <c r="E13" s="35" t="e">
        <f>MAX(Character!$I$20,0)+12</f>
        <v>#VALUE!</v>
      </c>
      <c r="F13" s="35"/>
      <c r="G13" s="35">
        <v>1</v>
      </c>
      <c r="H13" s="35"/>
      <c r="I13" s="35">
        <v>3</v>
      </c>
      <c r="J13" s="35"/>
      <c r="K13" s="35" t="s">
        <v>96</v>
      </c>
      <c r="L13" s="35"/>
      <c r="M13" s="35">
        <v>-6</v>
      </c>
      <c r="N13" s="35"/>
      <c r="O13" s="35">
        <v>4</v>
      </c>
      <c r="P13" s="36">
        <v>0.9</v>
      </c>
      <c r="Q13" s="35">
        <v>6</v>
      </c>
      <c r="R13" s="35">
        <v>10</v>
      </c>
      <c r="S13" s="35">
        <v>35</v>
      </c>
      <c r="AA13" s="185" t="s">
        <v>190</v>
      </c>
      <c r="AB13" s="25" t="s">
        <v>190</v>
      </c>
      <c r="AE13" s="4"/>
      <c r="AF13" s="4"/>
    </row>
    <row r="14" spans="2:32" ht="15" customHeight="1">
      <c r="B14" s="104" t="s">
        <v>315</v>
      </c>
      <c r="C14" s="96" t="s">
        <v>97</v>
      </c>
      <c r="D14" s="21">
        <v>1</v>
      </c>
      <c r="E14" s="21" t="e">
        <f>MAX(Character!$I$20,0)+8</f>
        <v>#VALUE!</v>
      </c>
      <c r="F14" s="21"/>
      <c r="G14" s="21">
        <v>7</v>
      </c>
      <c r="H14" s="21"/>
      <c r="I14" s="21">
        <v>5</v>
      </c>
      <c r="J14" s="21"/>
      <c r="K14" s="21" t="s">
        <v>98</v>
      </c>
      <c r="L14" s="21"/>
      <c r="M14" s="21">
        <v>-7</v>
      </c>
      <c r="N14" s="21"/>
      <c r="O14" s="21">
        <v>4</v>
      </c>
      <c r="P14" s="37">
        <v>1</v>
      </c>
      <c r="Q14" s="21">
        <v>10</v>
      </c>
      <c r="R14" s="21">
        <v>6</v>
      </c>
      <c r="S14" s="21">
        <v>20</v>
      </c>
      <c r="AA14" s="185" t="s">
        <v>34</v>
      </c>
      <c r="AB14" s="25" t="s">
        <v>34</v>
      </c>
      <c r="AE14" s="4"/>
      <c r="AF14" s="4"/>
    </row>
    <row r="15" spans="2:32" ht="15" customHeight="1">
      <c r="B15" s="104" t="s">
        <v>315</v>
      </c>
      <c r="C15" s="96" t="s">
        <v>99</v>
      </c>
      <c r="D15" s="21">
        <v>1</v>
      </c>
      <c r="E15" s="21" t="e">
        <f>MAX(Character!$I$25,0)+6</f>
        <v>#VALUE!</v>
      </c>
      <c r="F15" s="21"/>
      <c r="G15" s="21">
        <v>4</v>
      </c>
      <c r="H15" s="21"/>
      <c r="I15" s="21">
        <v>7</v>
      </c>
      <c r="J15" s="21"/>
      <c r="K15" s="21" t="s">
        <v>100</v>
      </c>
      <c r="L15" s="21"/>
      <c r="M15" s="21">
        <v>-8</v>
      </c>
      <c r="N15" s="21"/>
      <c r="O15" s="21">
        <v>4</v>
      </c>
      <c r="P15" s="37">
        <v>1.7</v>
      </c>
      <c r="Q15" s="21">
        <v>8</v>
      </c>
      <c r="R15" s="21">
        <v>11</v>
      </c>
      <c r="S15" s="21">
        <v>38</v>
      </c>
      <c r="AA15" s="185" t="s">
        <v>78</v>
      </c>
      <c r="AB15" s="25" t="s">
        <v>139</v>
      </c>
    </row>
    <row r="16" spans="2:32" ht="15" customHeight="1">
      <c r="B16" s="104" t="s">
        <v>315</v>
      </c>
      <c r="C16" s="96" t="s">
        <v>101</v>
      </c>
      <c r="D16" s="43" t="s">
        <v>122</v>
      </c>
      <c r="E16" s="21" t="e">
        <f>MAX(Character!$I$20,0)+9</f>
        <v>#VALUE!</v>
      </c>
      <c r="F16" s="21" t="e">
        <f>MAX(Character!$I$20,0)+8</f>
        <v>#VALUE!</v>
      </c>
      <c r="G16" s="21">
        <v>2</v>
      </c>
      <c r="H16" s="21">
        <v>4</v>
      </c>
      <c r="I16" s="21">
        <v>6</v>
      </c>
      <c r="J16" s="21">
        <v>8</v>
      </c>
      <c r="K16" s="21" t="s">
        <v>102</v>
      </c>
      <c r="L16" s="21" t="s">
        <v>102</v>
      </c>
      <c r="M16" s="21">
        <v>-6</v>
      </c>
      <c r="N16" s="21">
        <v>-7</v>
      </c>
      <c r="O16" s="21">
        <v>3</v>
      </c>
      <c r="P16" s="37">
        <v>1</v>
      </c>
      <c r="Q16" s="21">
        <v>7</v>
      </c>
      <c r="R16" s="21">
        <v>12</v>
      </c>
      <c r="S16" s="21">
        <v>45</v>
      </c>
      <c r="AA16" s="185" t="s">
        <v>139</v>
      </c>
      <c r="AB16" s="25" t="s">
        <v>176</v>
      </c>
    </row>
    <row r="17" spans="2:28" ht="15" customHeight="1">
      <c r="B17" s="105" t="s">
        <v>315</v>
      </c>
      <c r="C17" s="91" t="s">
        <v>238</v>
      </c>
      <c r="D17" s="22">
        <v>1</v>
      </c>
      <c r="E17" s="22" t="e">
        <f>MAX(Character!$I$20,0)+2</f>
        <v>#VALUE!</v>
      </c>
      <c r="F17" s="22"/>
      <c r="G17" s="22">
        <v>3</v>
      </c>
      <c r="H17" s="22"/>
      <c r="I17" s="22">
        <v>1</v>
      </c>
      <c r="J17" s="22"/>
      <c r="K17" s="22" t="s">
        <v>74</v>
      </c>
      <c r="L17" s="22"/>
      <c r="M17" s="22">
        <v>-4</v>
      </c>
      <c r="N17" s="22"/>
      <c r="O17" s="22">
        <v>2</v>
      </c>
      <c r="P17" s="22">
        <v>0.3</v>
      </c>
      <c r="Q17" s="22"/>
      <c r="R17" s="22">
        <v>4</v>
      </c>
      <c r="S17" s="22">
        <v>1</v>
      </c>
      <c r="AA17" s="185" t="s">
        <v>176</v>
      </c>
      <c r="AB17" s="25" t="s">
        <v>130</v>
      </c>
    </row>
    <row r="18" spans="2:28" ht="15" customHeight="1">
      <c r="B18" s="103" t="s">
        <v>322</v>
      </c>
      <c r="C18" s="106" t="s">
        <v>103</v>
      </c>
      <c r="D18" s="35">
        <v>1</v>
      </c>
      <c r="E18" s="35" t="e">
        <f>MAX(Character!$I$20,0)+11</f>
        <v>#VALUE!</v>
      </c>
      <c r="F18" s="35"/>
      <c r="G18" s="35">
        <v>4</v>
      </c>
      <c r="H18" s="35"/>
      <c r="I18" s="35">
        <v>7</v>
      </c>
      <c r="J18" s="35"/>
      <c r="K18" s="35" t="s">
        <v>104</v>
      </c>
      <c r="L18" s="35"/>
      <c r="M18" s="35">
        <v>-8</v>
      </c>
      <c r="N18" s="35"/>
      <c r="O18" s="35">
        <v>6</v>
      </c>
      <c r="P18" s="36">
        <v>1.6</v>
      </c>
      <c r="Q18" s="35">
        <v>9</v>
      </c>
      <c r="R18" s="35">
        <v>15</v>
      </c>
      <c r="S18" s="35">
        <v>45</v>
      </c>
      <c r="AA18" s="185" t="s">
        <v>130</v>
      </c>
      <c r="AB18" s="25" t="s">
        <v>133</v>
      </c>
    </row>
    <row r="19" spans="2:28" ht="15" customHeight="1">
      <c r="B19" s="104" t="s">
        <v>322</v>
      </c>
      <c r="C19" s="96" t="s">
        <v>105</v>
      </c>
      <c r="D19" s="43" t="s">
        <v>122</v>
      </c>
      <c r="E19" s="21" t="e">
        <f>MAX(Character!$I$25,0)+2</f>
        <v>#VALUE!</v>
      </c>
      <c r="F19" s="21" t="e">
        <f>MAX(Character!$I$25,0)+4</f>
        <v>#VALUE!</v>
      </c>
      <c r="G19" s="21">
        <v>12</v>
      </c>
      <c r="H19" s="21">
        <v>17</v>
      </c>
      <c r="I19" s="21">
        <v>4</v>
      </c>
      <c r="J19" s="21">
        <v>8</v>
      </c>
      <c r="K19" s="21" t="s">
        <v>106</v>
      </c>
      <c r="L19" s="21" t="s">
        <v>107</v>
      </c>
      <c r="M19" s="21">
        <v>-10</v>
      </c>
      <c r="N19" s="21">
        <v>-11</v>
      </c>
      <c r="O19" s="21">
        <v>7</v>
      </c>
      <c r="P19" s="37">
        <v>2.5</v>
      </c>
      <c r="Q19" s="21">
        <v>15</v>
      </c>
      <c r="R19" s="21">
        <v>12</v>
      </c>
      <c r="S19" s="21">
        <v>50</v>
      </c>
      <c r="AA19" s="185" t="s">
        <v>133</v>
      </c>
      <c r="AB19" s="25" t="s">
        <v>138</v>
      </c>
    </row>
    <row r="20" spans="2:28" s="4" customFormat="1" ht="15" customHeight="1">
      <c r="B20" s="104" t="s">
        <v>322</v>
      </c>
      <c r="C20" s="96" t="s">
        <v>108</v>
      </c>
      <c r="D20" s="43" t="s">
        <v>122</v>
      </c>
      <c r="E20" s="21" t="e">
        <f>MAX(Character!$I$25,0)+7</f>
        <v>#VALUE!</v>
      </c>
      <c r="F20" s="21" t="e">
        <f>MAX(Character!$I$25,0)+10</f>
        <v>#VALUE!</v>
      </c>
      <c r="G20" s="21">
        <v>10</v>
      </c>
      <c r="H20" s="21">
        <v>15</v>
      </c>
      <c r="I20" s="21">
        <v>6</v>
      </c>
      <c r="J20" s="21">
        <v>10</v>
      </c>
      <c r="K20" s="21" t="s">
        <v>109</v>
      </c>
      <c r="L20" s="21" t="s">
        <v>110</v>
      </c>
      <c r="M20" s="21">
        <v>-8</v>
      </c>
      <c r="N20" s="21">
        <v>-9</v>
      </c>
      <c r="O20" s="21">
        <v>5</v>
      </c>
      <c r="P20" s="37">
        <v>1.8</v>
      </c>
      <c r="Q20" s="21">
        <v>15</v>
      </c>
      <c r="R20" s="21">
        <v>12</v>
      </c>
      <c r="S20" s="21">
        <v>120</v>
      </c>
      <c r="AA20" s="185" t="s">
        <v>138</v>
      </c>
      <c r="AB20" s="25" t="s">
        <v>179</v>
      </c>
    </row>
    <row r="21" spans="2:28" ht="15" customHeight="1">
      <c r="B21" s="104" t="s">
        <v>322</v>
      </c>
      <c r="C21" s="96" t="s">
        <v>111</v>
      </c>
      <c r="D21" s="43" t="s">
        <v>122</v>
      </c>
      <c r="E21" s="21" t="e">
        <f>MAX(Character!$I$19,0)+2</f>
        <v>#VALUE!</v>
      </c>
      <c r="F21" s="21" t="e">
        <f>MAX(Character!$I$19,0)+5</f>
        <v>#VALUE!</v>
      </c>
      <c r="G21" s="21">
        <v>8</v>
      </c>
      <c r="H21" s="21">
        <v>13</v>
      </c>
      <c r="I21" s="21">
        <v>6</v>
      </c>
      <c r="J21" s="21">
        <v>10</v>
      </c>
      <c r="K21" s="21" t="s">
        <v>112</v>
      </c>
      <c r="L21" s="21" t="s">
        <v>113</v>
      </c>
      <c r="M21" s="21">
        <v>-9</v>
      </c>
      <c r="N21" s="21">
        <v>-10</v>
      </c>
      <c r="O21" s="21">
        <v>5</v>
      </c>
      <c r="P21" s="37">
        <v>2</v>
      </c>
      <c r="Q21" s="21">
        <v>16</v>
      </c>
      <c r="R21" s="21">
        <v>10</v>
      </c>
      <c r="S21" s="21">
        <v>48</v>
      </c>
      <c r="AA21" s="185" t="s">
        <v>71</v>
      </c>
      <c r="AB21" s="26" t="s">
        <v>231</v>
      </c>
    </row>
    <row r="22" spans="2:28" ht="15" customHeight="1">
      <c r="B22" s="105" t="s">
        <v>322</v>
      </c>
      <c r="C22" s="91" t="s">
        <v>237</v>
      </c>
      <c r="D22" s="22">
        <v>2</v>
      </c>
      <c r="E22" s="22"/>
      <c r="F22" s="22" t="e">
        <f>MAX(Character!$I$25,0)+4</f>
        <v>#VALUE!</v>
      </c>
      <c r="G22" s="22"/>
      <c r="H22" s="22">
        <v>7</v>
      </c>
      <c r="I22" s="22"/>
      <c r="J22" s="22">
        <v>3</v>
      </c>
      <c r="K22" s="22"/>
      <c r="L22" s="22" t="s">
        <v>76</v>
      </c>
      <c r="M22" s="22"/>
      <c r="N22" s="22">
        <v>-4</v>
      </c>
      <c r="O22" s="22">
        <v>2</v>
      </c>
      <c r="P22" s="22" t="s">
        <v>224</v>
      </c>
      <c r="Q22" s="22"/>
      <c r="R22" s="22">
        <v>4</v>
      </c>
      <c r="S22" s="22" t="s">
        <v>224</v>
      </c>
      <c r="AA22" s="137" t="s">
        <v>235</v>
      </c>
      <c r="AB22" s="25" t="s">
        <v>212</v>
      </c>
    </row>
    <row r="23" spans="2:28" ht="15" customHeight="1">
      <c r="B23" s="103" t="s">
        <v>321</v>
      </c>
      <c r="C23" s="106" t="s">
        <v>114</v>
      </c>
      <c r="D23" s="35">
        <v>1</v>
      </c>
      <c r="E23" s="35" t="e">
        <f>MAX(Character!$I$19,0)+2</f>
        <v>#VALUE!</v>
      </c>
      <c r="F23" s="35"/>
      <c r="G23" s="35">
        <v>10</v>
      </c>
      <c r="H23" s="35"/>
      <c r="I23" s="35">
        <v>2</v>
      </c>
      <c r="J23" s="35"/>
      <c r="K23" s="35" t="s">
        <v>115</v>
      </c>
      <c r="L23" s="35"/>
      <c r="M23" s="35">
        <v>-11</v>
      </c>
      <c r="N23" s="35"/>
      <c r="O23" s="35">
        <v>5</v>
      </c>
      <c r="P23" s="36">
        <v>3</v>
      </c>
      <c r="Q23" s="35">
        <v>16</v>
      </c>
      <c r="R23" s="35">
        <v>6</v>
      </c>
      <c r="S23" s="35">
        <v>50</v>
      </c>
      <c r="AA23" s="185" t="s">
        <v>179</v>
      </c>
      <c r="AB23" s="25" t="s">
        <v>105</v>
      </c>
    </row>
    <row r="24" spans="2:28" ht="15" customHeight="1">
      <c r="B24" s="104" t="s">
        <v>321</v>
      </c>
      <c r="C24" s="96" t="s">
        <v>116</v>
      </c>
      <c r="D24" s="21">
        <v>2</v>
      </c>
      <c r="E24" s="21"/>
      <c r="F24" s="21" t="e">
        <f>MAX(Character!$I$25,0)+7</f>
        <v>#VALUE!</v>
      </c>
      <c r="G24" s="21"/>
      <c r="H24" s="21">
        <v>15</v>
      </c>
      <c r="I24" s="21"/>
      <c r="J24" s="21">
        <v>12</v>
      </c>
      <c r="K24" s="21"/>
      <c r="L24" s="21" t="s">
        <v>117</v>
      </c>
      <c r="M24" s="21"/>
      <c r="N24" s="21">
        <v>-10</v>
      </c>
      <c r="O24" s="21">
        <v>7</v>
      </c>
      <c r="P24" s="37">
        <v>2.2000000000000002</v>
      </c>
      <c r="Q24" s="21">
        <v>16</v>
      </c>
      <c r="R24" s="21">
        <v>15</v>
      </c>
      <c r="S24" s="21">
        <v>200</v>
      </c>
      <c r="AA24" s="137" t="s">
        <v>231</v>
      </c>
      <c r="AB24" s="25" t="s">
        <v>144</v>
      </c>
    </row>
    <row r="25" spans="2:28" ht="15" customHeight="1">
      <c r="B25" s="104" t="s">
        <v>321</v>
      </c>
      <c r="C25" s="96" t="s">
        <v>118</v>
      </c>
      <c r="D25" s="21">
        <v>2</v>
      </c>
      <c r="E25" s="21"/>
      <c r="F25" s="21" t="e">
        <f>MAX(Character!$I$19,0)+2</f>
        <v>#VALUE!</v>
      </c>
      <c r="G25" s="21"/>
      <c r="H25" s="21">
        <v>20</v>
      </c>
      <c r="I25" s="21"/>
      <c r="J25" s="21">
        <v>4</v>
      </c>
      <c r="K25" s="21"/>
      <c r="L25" s="21" t="s">
        <v>119</v>
      </c>
      <c r="M25" s="21"/>
      <c r="N25" s="21">
        <v>-12</v>
      </c>
      <c r="O25" s="21">
        <v>8</v>
      </c>
      <c r="P25" s="37">
        <v>3.5</v>
      </c>
      <c r="Q25" s="21">
        <v>17</v>
      </c>
      <c r="R25" s="21">
        <v>7</v>
      </c>
      <c r="S25" s="21">
        <v>100</v>
      </c>
      <c r="AA25" s="185" t="s">
        <v>212</v>
      </c>
      <c r="AB25" s="25" t="s">
        <v>125</v>
      </c>
    </row>
    <row r="26" spans="2:28" s="4" customFormat="1" ht="15" customHeight="1">
      <c r="B26" s="105" t="s">
        <v>321</v>
      </c>
      <c r="C26" s="107" t="s">
        <v>120</v>
      </c>
      <c r="D26" s="22">
        <v>2</v>
      </c>
      <c r="E26" s="22"/>
      <c r="F26" s="22" t="e">
        <f>MAX(Character!$I$19,0)+1</f>
        <v>#VALUE!</v>
      </c>
      <c r="G26" s="22"/>
      <c r="H26" s="22">
        <v>23</v>
      </c>
      <c r="I26" s="22"/>
      <c r="J26" s="22">
        <v>2</v>
      </c>
      <c r="K26" s="22"/>
      <c r="L26" s="22" t="s">
        <v>121</v>
      </c>
      <c r="M26" s="22"/>
      <c r="N26" s="22">
        <v>-14</v>
      </c>
      <c r="O26" s="22">
        <v>8</v>
      </c>
      <c r="P26" s="38">
        <v>3.5</v>
      </c>
      <c r="Q26" s="22">
        <v>19</v>
      </c>
      <c r="R26" s="22">
        <v>9</v>
      </c>
      <c r="S26" s="22">
        <v>140</v>
      </c>
      <c r="AA26" s="185" t="s">
        <v>105</v>
      </c>
      <c r="AB26" s="25" t="s">
        <v>160</v>
      </c>
    </row>
    <row r="27" spans="2:28" ht="15" customHeight="1">
      <c r="B27" s="103" t="s">
        <v>320</v>
      </c>
      <c r="C27" s="106" t="s">
        <v>123</v>
      </c>
      <c r="D27" s="35">
        <v>1</v>
      </c>
      <c r="E27" s="35" t="e">
        <f>MAX(Character!$I$20,0)+4</f>
        <v>#VALUE!</v>
      </c>
      <c r="F27" s="35"/>
      <c r="G27" s="35">
        <v>9</v>
      </c>
      <c r="H27" s="35"/>
      <c r="I27" s="35">
        <v>3</v>
      </c>
      <c r="J27" s="35"/>
      <c r="K27" s="35" t="s">
        <v>124</v>
      </c>
      <c r="L27" s="35"/>
      <c r="M27" s="35">
        <v>-8</v>
      </c>
      <c r="N27" s="35"/>
      <c r="O27" s="35">
        <v>3</v>
      </c>
      <c r="P27" s="36">
        <v>0.7</v>
      </c>
      <c r="Q27" s="35">
        <v>9</v>
      </c>
      <c r="R27" s="35">
        <v>12</v>
      </c>
      <c r="S27" s="35">
        <v>7</v>
      </c>
      <c r="AA27" s="185" t="s">
        <v>144</v>
      </c>
      <c r="AB27" s="25" t="s">
        <v>200</v>
      </c>
    </row>
    <row r="28" spans="2:28" ht="15" customHeight="1">
      <c r="B28" s="104" t="s">
        <v>320</v>
      </c>
      <c r="C28" s="96" t="s">
        <v>125</v>
      </c>
      <c r="D28" s="21">
        <v>1</v>
      </c>
      <c r="E28" s="21" t="e">
        <f>MAX(Character!$I$25,0)+2</f>
        <v>#VALUE!</v>
      </c>
      <c r="F28" s="21"/>
      <c r="G28" s="21">
        <v>13</v>
      </c>
      <c r="H28" s="21"/>
      <c r="I28" s="21">
        <v>7</v>
      </c>
      <c r="J28" s="21"/>
      <c r="K28" s="21" t="s">
        <v>126</v>
      </c>
      <c r="L28" s="21"/>
      <c r="M28" s="21">
        <v>-9</v>
      </c>
      <c r="N28" s="21"/>
      <c r="O28" s="21">
        <v>4</v>
      </c>
      <c r="P28" s="37">
        <v>2.5</v>
      </c>
      <c r="Q28" s="21">
        <v>14</v>
      </c>
      <c r="R28" s="21">
        <v>13</v>
      </c>
      <c r="S28" s="21">
        <v>25</v>
      </c>
      <c r="AA28" s="185" t="s">
        <v>80</v>
      </c>
      <c r="AB28" s="25" t="s">
        <v>108</v>
      </c>
    </row>
    <row r="29" spans="2:28" ht="15" customHeight="1">
      <c r="B29" s="104" t="s">
        <v>320</v>
      </c>
      <c r="C29" s="96" t="s">
        <v>127</v>
      </c>
      <c r="D29" s="33" t="s">
        <v>122</v>
      </c>
      <c r="E29" s="21" t="e">
        <f>MAX(Character!$I$20,0)+7</f>
        <v>#VALUE!</v>
      </c>
      <c r="F29" s="21" t="e">
        <f>MAX(Character!$I$20,0)+3</f>
        <v>#VALUE!</v>
      </c>
      <c r="G29" s="21">
        <v>7</v>
      </c>
      <c r="H29" s="21">
        <v>11</v>
      </c>
      <c r="I29" s="21">
        <v>4</v>
      </c>
      <c r="J29" s="21">
        <v>8</v>
      </c>
      <c r="K29" s="21" t="s">
        <v>128</v>
      </c>
      <c r="L29" s="21" t="s">
        <v>129</v>
      </c>
      <c r="M29" s="21">
        <v>-8</v>
      </c>
      <c r="N29" s="21">
        <v>-8</v>
      </c>
      <c r="O29" s="21">
        <v>5</v>
      </c>
      <c r="P29" s="37">
        <v>2</v>
      </c>
      <c r="Q29" s="21">
        <v>10</v>
      </c>
      <c r="R29" s="21">
        <v>9</v>
      </c>
      <c r="S29" s="21">
        <v>20</v>
      </c>
      <c r="AA29" s="185" t="s">
        <v>125</v>
      </c>
      <c r="AB29" s="25" t="s">
        <v>218</v>
      </c>
    </row>
    <row r="30" spans="2:28" ht="15" customHeight="1">
      <c r="B30" s="105" t="s">
        <v>320</v>
      </c>
      <c r="C30" s="107" t="s">
        <v>130</v>
      </c>
      <c r="D30" s="22">
        <v>2</v>
      </c>
      <c r="E30" s="22"/>
      <c r="F30" s="22" t="e">
        <f>MAX(Character!$I$19,0)+2</f>
        <v>#VALUE!</v>
      </c>
      <c r="G30" s="22"/>
      <c r="H30" s="22">
        <v>16</v>
      </c>
      <c r="I30" s="22"/>
      <c r="J30" s="22">
        <v>2</v>
      </c>
      <c r="K30" s="22"/>
      <c r="L30" s="22" t="s">
        <v>110</v>
      </c>
      <c r="M30" s="22"/>
      <c r="N30" s="22">
        <v>-10</v>
      </c>
      <c r="O30" s="22">
        <v>5</v>
      </c>
      <c r="P30" s="38">
        <v>3.5</v>
      </c>
      <c r="Q30" s="22">
        <v>16</v>
      </c>
      <c r="R30" s="22"/>
      <c r="S30" s="22">
        <v>18</v>
      </c>
      <c r="AA30" s="185" t="s">
        <v>160</v>
      </c>
      <c r="AB30" s="25" t="s">
        <v>173</v>
      </c>
    </row>
    <row r="31" spans="2:28" ht="15" customHeight="1">
      <c r="B31" s="103" t="s">
        <v>319</v>
      </c>
      <c r="C31" s="106" t="s">
        <v>131</v>
      </c>
      <c r="D31" s="46" t="s">
        <v>122</v>
      </c>
      <c r="E31" s="35" t="e">
        <f>MAX(Character!$I$25,0)</f>
        <v>#VALUE!</v>
      </c>
      <c r="F31" s="35" t="e">
        <f>MAX(Character!$I$25,0)+2</f>
        <v>#VALUE!</v>
      </c>
      <c r="G31" s="35">
        <v>14</v>
      </c>
      <c r="H31" s="35">
        <v>20</v>
      </c>
      <c r="I31" s="35">
        <v>4</v>
      </c>
      <c r="J31" s="35">
        <v>7</v>
      </c>
      <c r="K31" s="35" t="s">
        <v>132</v>
      </c>
      <c r="L31" s="35" t="s">
        <v>132</v>
      </c>
      <c r="M31" s="35">
        <v>-11</v>
      </c>
      <c r="N31" s="35">
        <v>-13</v>
      </c>
      <c r="O31" s="35">
        <v>6</v>
      </c>
      <c r="P31" s="36">
        <v>3.5</v>
      </c>
      <c r="Q31" s="35">
        <v>19</v>
      </c>
      <c r="R31" s="35">
        <v>16</v>
      </c>
      <c r="S31" s="35">
        <v>24</v>
      </c>
      <c r="AA31" s="185" t="s">
        <v>200</v>
      </c>
      <c r="AB31" s="25" t="s">
        <v>103</v>
      </c>
    </row>
    <row r="32" spans="2:28" ht="15" customHeight="1">
      <c r="B32" s="104" t="s">
        <v>319</v>
      </c>
      <c r="C32" s="96" t="s">
        <v>133</v>
      </c>
      <c r="D32" s="33" t="s">
        <v>122</v>
      </c>
      <c r="E32" s="21" t="e">
        <f>MAX(Character!$I$19,0)+2</f>
        <v>#VALUE!</v>
      </c>
      <c r="F32" s="21" t="e">
        <f>MAX(Character!$I$19,0)</f>
        <v>#VALUE!</v>
      </c>
      <c r="G32" s="21">
        <v>12</v>
      </c>
      <c r="H32" s="21">
        <v>22</v>
      </c>
      <c r="I32" s="21">
        <v>4</v>
      </c>
      <c r="J32" s="21">
        <v>4</v>
      </c>
      <c r="K32" s="21" t="s">
        <v>117</v>
      </c>
      <c r="L32" s="21" t="s">
        <v>100</v>
      </c>
      <c r="M32" s="21">
        <v>-12</v>
      </c>
      <c r="N32" s="21">
        <v>-14</v>
      </c>
      <c r="O32" s="21">
        <v>6</v>
      </c>
      <c r="P32" s="37">
        <v>4</v>
      </c>
      <c r="Q32" s="21">
        <v>21</v>
      </c>
      <c r="R32" s="21"/>
      <c r="S32" s="21">
        <v>28</v>
      </c>
      <c r="AA32" s="185" t="s">
        <v>108</v>
      </c>
      <c r="AB32" s="25" t="s">
        <v>95</v>
      </c>
    </row>
    <row r="33" spans="2:28" ht="15" customHeight="1">
      <c r="B33" s="104" t="s">
        <v>319</v>
      </c>
      <c r="C33" s="96" t="s">
        <v>134</v>
      </c>
      <c r="D33" s="33" t="s">
        <v>122</v>
      </c>
      <c r="E33" s="21" t="e">
        <f>MAX(Character!$I$25,0)</f>
        <v>#VALUE!</v>
      </c>
      <c r="F33" s="21" t="e">
        <f>MAX(Character!$I$25,0)</f>
        <v>#VALUE!</v>
      </c>
      <c r="G33" s="21">
        <v>16</v>
      </c>
      <c r="H33" s="21">
        <v>24</v>
      </c>
      <c r="I33" s="21">
        <v>1</v>
      </c>
      <c r="J33" s="21">
        <v>2</v>
      </c>
      <c r="K33" s="21" t="s">
        <v>104</v>
      </c>
      <c r="L33" s="21" t="s">
        <v>109</v>
      </c>
      <c r="M33" s="21">
        <v>-10</v>
      </c>
      <c r="N33" s="21">
        <v>-12</v>
      </c>
      <c r="O33" s="21">
        <v>5</v>
      </c>
      <c r="P33" s="37">
        <v>3</v>
      </c>
      <c r="Q33" s="21">
        <v>17</v>
      </c>
      <c r="R33" s="21">
        <v>17</v>
      </c>
      <c r="S33" s="21">
        <v>30</v>
      </c>
      <c r="AA33" s="185" t="s">
        <v>218</v>
      </c>
      <c r="AB33" s="25" t="s">
        <v>226</v>
      </c>
    </row>
    <row r="34" spans="2:28" ht="15" customHeight="1">
      <c r="B34" s="105" t="s">
        <v>319</v>
      </c>
      <c r="C34" s="107" t="s">
        <v>135</v>
      </c>
      <c r="D34" s="22">
        <v>2</v>
      </c>
      <c r="E34" s="22"/>
      <c r="F34" s="22" t="e">
        <f>MAX(Character!$I$19,0)</f>
        <v>#VALUE!</v>
      </c>
      <c r="G34" s="22"/>
      <c r="H34" s="22">
        <v>21</v>
      </c>
      <c r="I34" s="22"/>
      <c r="J34" s="22">
        <v>3</v>
      </c>
      <c r="K34" s="22"/>
      <c r="L34" s="22" t="s">
        <v>119</v>
      </c>
      <c r="M34" s="22"/>
      <c r="N34" s="22">
        <v>-13</v>
      </c>
      <c r="O34" s="22">
        <v>7</v>
      </c>
      <c r="P34" s="38">
        <v>4</v>
      </c>
      <c r="Q34" s="22">
        <v>20</v>
      </c>
      <c r="R34" s="22"/>
      <c r="S34" s="22">
        <v>40</v>
      </c>
      <c r="AA34" s="185" t="s">
        <v>173</v>
      </c>
      <c r="AB34" s="25" t="s">
        <v>101</v>
      </c>
    </row>
    <row r="35" spans="2:28" ht="15" customHeight="1">
      <c r="B35" s="103" t="s">
        <v>318</v>
      </c>
      <c r="C35" s="106" t="s">
        <v>136</v>
      </c>
      <c r="D35" s="46" t="s">
        <v>122</v>
      </c>
      <c r="E35" s="35" t="e">
        <f>MAX(Character!$I$19,0)</f>
        <v>#VALUE!</v>
      </c>
      <c r="F35" s="35" t="e">
        <f>MAX(Character!$I$19,0)</f>
        <v>#VALUE!</v>
      </c>
      <c r="G35" s="35">
        <v>15</v>
      </c>
      <c r="H35" s="35">
        <v>18</v>
      </c>
      <c r="I35" s="35">
        <v>1</v>
      </c>
      <c r="J35" s="35">
        <v>3</v>
      </c>
      <c r="K35" s="35" t="s">
        <v>109</v>
      </c>
      <c r="L35" s="35" t="s">
        <v>106</v>
      </c>
      <c r="M35" s="35">
        <v>-10</v>
      </c>
      <c r="N35" s="35">
        <v>-12</v>
      </c>
      <c r="O35" s="35">
        <v>7</v>
      </c>
      <c r="P35" s="36">
        <v>3.8</v>
      </c>
      <c r="Q35" s="35">
        <v>21</v>
      </c>
      <c r="R35" s="35">
        <v>6</v>
      </c>
      <c r="S35" s="35">
        <v>42</v>
      </c>
      <c r="T35" s="6"/>
      <c r="U35" s="6"/>
      <c r="AA35" s="185" t="s">
        <v>103</v>
      </c>
      <c r="AB35" s="25" t="s">
        <v>189</v>
      </c>
    </row>
    <row r="36" spans="2:28">
      <c r="B36" s="104" t="s">
        <v>318</v>
      </c>
      <c r="C36" s="96" t="s">
        <v>137</v>
      </c>
      <c r="D36" s="21">
        <v>2</v>
      </c>
      <c r="E36" s="21"/>
      <c r="F36" s="21" t="e">
        <f>MAX(Character!$I$25,0)</f>
        <v>#VALUE!</v>
      </c>
      <c r="G36" s="21"/>
      <c r="H36" s="21">
        <v>24</v>
      </c>
      <c r="I36" s="21"/>
      <c r="J36" s="21">
        <v>6</v>
      </c>
      <c r="K36" s="21"/>
      <c r="L36" s="21" t="s">
        <v>110</v>
      </c>
      <c r="M36" s="21"/>
      <c r="N36" s="21">
        <v>-13</v>
      </c>
      <c r="O36" s="21">
        <v>8</v>
      </c>
      <c r="P36" s="37">
        <v>4</v>
      </c>
      <c r="Q36" s="21">
        <v>19</v>
      </c>
      <c r="R36" s="21">
        <v>16</v>
      </c>
      <c r="S36" s="21">
        <v>50</v>
      </c>
      <c r="T36" s="6"/>
      <c r="U36" s="6"/>
      <c r="AA36" s="185" t="s">
        <v>95</v>
      </c>
      <c r="AB36" s="25" t="s">
        <v>181</v>
      </c>
    </row>
    <row r="37" spans="2:28">
      <c r="B37" s="104" t="s">
        <v>318</v>
      </c>
      <c r="C37" s="96" t="s">
        <v>138</v>
      </c>
      <c r="D37" s="21">
        <v>2</v>
      </c>
      <c r="E37" s="21"/>
      <c r="F37" s="21" t="e">
        <f>MAX(Character!$I$19,0)-1</f>
        <v>#VALUE!</v>
      </c>
      <c r="G37" s="21"/>
      <c r="H37" s="21">
        <v>26</v>
      </c>
      <c r="I37" s="21"/>
      <c r="J37" s="21">
        <v>2</v>
      </c>
      <c r="K37" s="21"/>
      <c r="L37" s="21" t="s">
        <v>121</v>
      </c>
      <c r="M37" s="21"/>
      <c r="N37" s="21">
        <v>-14</v>
      </c>
      <c r="O37" s="21">
        <v>7</v>
      </c>
      <c r="P37" s="37">
        <v>4.5</v>
      </c>
      <c r="Q37" s="21">
        <v>22</v>
      </c>
      <c r="R37" s="21"/>
      <c r="S37" s="21">
        <v>45</v>
      </c>
      <c r="T37" s="6"/>
      <c r="U37" s="6"/>
      <c r="AA37" s="185" t="s">
        <v>226</v>
      </c>
      <c r="AB37" s="25" t="s">
        <v>97</v>
      </c>
    </row>
    <row r="38" spans="2:28">
      <c r="B38" s="105" t="s">
        <v>318</v>
      </c>
      <c r="C38" s="107" t="s">
        <v>139</v>
      </c>
      <c r="D38" s="22">
        <v>2</v>
      </c>
      <c r="E38" s="22"/>
      <c r="F38" s="22" t="e">
        <f>MAX(Character!$I$19,0)-2</f>
        <v>#VALUE!</v>
      </c>
      <c r="G38" s="22"/>
      <c r="H38" s="22">
        <v>28</v>
      </c>
      <c r="I38" s="22"/>
      <c r="J38" s="22">
        <v>-1</v>
      </c>
      <c r="K38" s="22"/>
      <c r="L38" s="22" t="s">
        <v>140</v>
      </c>
      <c r="M38" s="22"/>
      <c r="N38" s="22">
        <v>-15</v>
      </c>
      <c r="O38" s="22">
        <v>6</v>
      </c>
      <c r="P38" s="38">
        <v>6</v>
      </c>
      <c r="Q38" s="22">
        <v>24</v>
      </c>
      <c r="R38" s="22"/>
      <c r="S38" s="22">
        <v>60</v>
      </c>
      <c r="T38" s="6"/>
      <c r="U38" s="6"/>
      <c r="AA38" s="185" t="s">
        <v>101</v>
      </c>
      <c r="AB38" s="26" t="s">
        <v>230</v>
      </c>
    </row>
    <row r="39" spans="2:28" ht="15" customHeight="1">
      <c r="B39" s="103" t="s">
        <v>317</v>
      </c>
      <c r="C39" s="106" t="s">
        <v>142</v>
      </c>
      <c r="D39" s="35">
        <v>1</v>
      </c>
      <c r="E39" s="35" t="e">
        <f>MAX(Character!$I$20,0)+12</f>
        <v>#VALUE!</v>
      </c>
      <c r="F39" s="65"/>
      <c r="G39" s="69" t="s">
        <v>296</v>
      </c>
      <c r="H39" s="35"/>
      <c r="I39" s="68">
        <v>-3</v>
      </c>
      <c r="J39" s="35"/>
      <c r="K39" s="35" t="s">
        <v>143</v>
      </c>
      <c r="L39" s="35"/>
      <c r="M39" s="35">
        <v>-7</v>
      </c>
      <c r="N39" s="35"/>
      <c r="O39" s="35">
        <v>10</v>
      </c>
      <c r="P39" s="36">
        <v>0.5</v>
      </c>
      <c r="Q39" s="35"/>
      <c r="R39" s="35">
        <v>18</v>
      </c>
      <c r="S39" s="35">
        <v>7</v>
      </c>
      <c r="T39" s="6"/>
      <c r="U39" s="6"/>
      <c r="AA39" s="185" t="s">
        <v>189</v>
      </c>
      <c r="AB39" s="25" t="s">
        <v>185</v>
      </c>
    </row>
    <row r="40" spans="2:28">
      <c r="B40" s="104" t="s">
        <v>317</v>
      </c>
      <c r="C40" s="96" t="s">
        <v>144</v>
      </c>
      <c r="D40" s="21">
        <v>1</v>
      </c>
      <c r="E40" s="21" t="e">
        <f>MAX(Character!$I$20,0)+4</f>
        <v>#VALUE!</v>
      </c>
      <c r="F40" s="66"/>
      <c r="G40" s="70" t="s">
        <v>296</v>
      </c>
      <c r="H40" s="21"/>
      <c r="I40" s="14">
        <v>1</v>
      </c>
      <c r="J40" s="21"/>
      <c r="K40" s="21" t="s">
        <v>72</v>
      </c>
      <c r="L40" s="21"/>
      <c r="M40" s="21">
        <v>-6</v>
      </c>
      <c r="N40" s="21"/>
      <c r="O40" s="21">
        <v>3</v>
      </c>
      <c r="P40" s="37">
        <v>1</v>
      </c>
      <c r="Q40" s="21">
        <v>6</v>
      </c>
      <c r="R40" s="21">
        <v>12</v>
      </c>
      <c r="S40" s="21">
        <v>10</v>
      </c>
      <c r="T40" s="6"/>
      <c r="U40" s="6"/>
      <c r="AA40" s="185" t="s">
        <v>181</v>
      </c>
      <c r="AB40" s="25" t="s">
        <v>187</v>
      </c>
    </row>
    <row r="41" spans="2:28">
      <c r="B41" s="104" t="s">
        <v>317</v>
      </c>
      <c r="C41" s="96" t="s">
        <v>145</v>
      </c>
      <c r="D41" s="21">
        <v>1</v>
      </c>
      <c r="E41" s="21" t="e">
        <f>MAX(Character!$I$20,0)+7</f>
        <v>#VALUE!</v>
      </c>
      <c r="F41" s="66"/>
      <c r="G41" s="70" t="s">
        <v>296</v>
      </c>
      <c r="H41" s="21"/>
      <c r="I41" s="14">
        <v>4</v>
      </c>
      <c r="J41" s="21"/>
      <c r="K41" s="21" t="s">
        <v>146</v>
      </c>
      <c r="L41" s="21"/>
      <c r="M41" s="21">
        <v>-8</v>
      </c>
      <c r="N41" s="21"/>
      <c r="O41" s="21">
        <v>3</v>
      </c>
      <c r="P41" s="37">
        <v>1.2</v>
      </c>
      <c r="Q41" s="21">
        <v>8</v>
      </c>
      <c r="R41" s="21">
        <v>4</v>
      </c>
      <c r="S41" s="21">
        <v>8</v>
      </c>
      <c r="T41" s="6"/>
      <c r="U41" s="6"/>
      <c r="AA41" s="185" t="s">
        <v>97</v>
      </c>
      <c r="AB41" s="25" t="s">
        <v>148</v>
      </c>
    </row>
    <row r="42" spans="2:28">
      <c r="B42" s="104" t="s">
        <v>317</v>
      </c>
      <c r="C42" s="96" t="s">
        <v>147</v>
      </c>
      <c r="D42" s="43" t="s">
        <v>122</v>
      </c>
      <c r="E42" s="21" t="e">
        <f>MAX(Character!$I$25,0)+4</f>
        <v>#VALUE!</v>
      </c>
      <c r="F42" s="66" t="e">
        <f>MAX(Character!$I$25,0)+7</f>
        <v>#VALUE!</v>
      </c>
      <c r="G42" s="70" t="s">
        <v>296</v>
      </c>
      <c r="H42" s="63" t="s">
        <v>296</v>
      </c>
      <c r="I42" s="14">
        <v>-3</v>
      </c>
      <c r="J42" s="21">
        <v>8</v>
      </c>
      <c r="K42" s="21" t="s">
        <v>74</v>
      </c>
      <c r="L42" s="21" t="s">
        <v>79</v>
      </c>
      <c r="M42" s="21">
        <v>-7</v>
      </c>
      <c r="N42" s="21">
        <v>-9</v>
      </c>
      <c r="O42" s="21">
        <v>4</v>
      </c>
      <c r="P42" s="37">
        <v>0.7</v>
      </c>
      <c r="Q42" s="21">
        <v>12</v>
      </c>
      <c r="R42" s="21">
        <v>17</v>
      </c>
      <c r="S42" s="21">
        <v>12</v>
      </c>
      <c r="T42" s="6"/>
      <c r="U42" s="6"/>
      <c r="AA42" s="137" t="s">
        <v>230</v>
      </c>
      <c r="AB42" s="25" t="s">
        <v>204</v>
      </c>
    </row>
    <row r="43" spans="2:28">
      <c r="B43" s="104" t="s">
        <v>317</v>
      </c>
      <c r="C43" s="96" t="s">
        <v>148</v>
      </c>
      <c r="D43" s="43" t="s">
        <v>122</v>
      </c>
      <c r="E43" s="21" t="e">
        <f>MAX(Character!$I$25,0)+1</f>
        <v>#VALUE!</v>
      </c>
      <c r="F43" s="66" t="e">
        <f>MAX(Character!$I$25,0)</f>
        <v>#VALUE!</v>
      </c>
      <c r="G43" s="70" t="s">
        <v>296</v>
      </c>
      <c r="H43" s="63" t="s">
        <v>296</v>
      </c>
      <c r="I43" s="14">
        <v>-2</v>
      </c>
      <c r="J43" s="21">
        <v>-2</v>
      </c>
      <c r="K43" s="21" t="s">
        <v>76</v>
      </c>
      <c r="L43" s="21" t="s">
        <v>149</v>
      </c>
      <c r="M43" s="21">
        <v>-9</v>
      </c>
      <c r="N43" s="21">
        <v>-11</v>
      </c>
      <c r="O43" s="21">
        <v>5</v>
      </c>
      <c r="P43" s="37">
        <v>2.5</v>
      </c>
      <c r="Q43" s="21">
        <v>18</v>
      </c>
      <c r="R43" s="21"/>
      <c r="S43" s="21">
        <v>1</v>
      </c>
      <c r="T43" s="6"/>
      <c r="U43" s="6"/>
      <c r="AA43" s="185" t="s">
        <v>185</v>
      </c>
      <c r="AB43" s="26" t="s">
        <v>233</v>
      </c>
    </row>
    <row r="44" spans="2:28">
      <c r="B44" s="104" t="s">
        <v>317</v>
      </c>
      <c r="C44" s="96" t="s">
        <v>218</v>
      </c>
      <c r="D44" s="43" t="s">
        <v>122</v>
      </c>
      <c r="E44" s="21" t="e">
        <f>MAX(Character!$I$19,0)-2</f>
        <v>#VALUE!</v>
      </c>
      <c r="F44" s="66" t="e">
        <f>MAX(Character!$I$19,0)</f>
        <v>#VALUE!</v>
      </c>
      <c r="G44" s="70" t="s">
        <v>296</v>
      </c>
      <c r="H44" s="63" t="s">
        <v>296</v>
      </c>
      <c r="I44" s="14">
        <v>2</v>
      </c>
      <c r="J44" s="21">
        <v>4</v>
      </c>
      <c r="K44" s="21" t="s">
        <v>74</v>
      </c>
      <c r="L44" s="21" t="s">
        <v>72</v>
      </c>
      <c r="M44" s="21">
        <v>-8</v>
      </c>
      <c r="N44" s="21">
        <v>-10</v>
      </c>
      <c r="O44" s="43" t="s">
        <v>215</v>
      </c>
      <c r="P44" s="37">
        <v>1.1000000000000001</v>
      </c>
      <c r="Q44" s="21"/>
      <c r="R44" s="21"/>
      <c r="S44" s="21"/>
      <c r="T44" s="6"/>
      <c r="U44" s="6"/>
      <c r="AA44" s="185" t="s">
        <v>187</v>
      </c>
      <c r="AB44" s="25" t="s">
        <v>66</v>
      </c>
    </row>
    <row r="45" spans="2:28">
      <c r="B45" s="104" t="s">
        <v>317</v>
      </c>
      <c r="C45" s="96" t="s">
        <v>219</v>
      </c>
      <c r="D45" s="21">
        <v>1</v>
      </c>
      <c r="E45" s="21" t="e">
        <f>MAX(Character!$I$19,0)</f>
        <v>#VALUE!</v>
      </c>
      <c r="F45" s="66"/>
      <c r="G45" s="70" t="s">
        <v>296</v>
      </c>
      <c r="H45" s="21"/>
      <c r="I45" s="14">
        <v>-4</v>
      </c>
      <c r="J45" s="21"/>
      <c r="K45" s="21" t="s">
        <v>206</v>
      </c>
      <c r="L45" s="21"/>
      <c r="M45" s="21">
        <v>-6</v>
      </c>
      <c r="N45" s="21"/>
      <c r="O45" s="21">
        <v>1</v>
      </c>
      <c r="P45" s="37">
        <v>0.5</v>
      </c>
      <c r="Q45" s="21"/>
      <c r="R45" s="21">
        <v>6</v>
      </c>
      <c r="S45" s="21">
        <v>2</v>
      </c>
      <c r="T45" s="6"/>
      <c r="U45" s="6"/>
      <c r="AA45" s="185" t="s">
        <v>148</v>
      </c>
      <c r="AB45" s="25" t="s">
        <v>191</v>
      </c>
    </row>
    <row r="46" spans="2:28">
      <c r="B46" s="105" t="s">
        <v>317</v>
      </c>
      <c r="C46" s="107" t="s">
        <v>220</v>
      </c>
      <c r="D46" s="22">
        <v>1</v>
      </c>
      <c r="E46" s="22" t="e">
        <f>MAX(Character!$I$20,0)+6</f>
        <v>#VALUE!</v>
      </c>
      <c r="F46" s="67"/>
      <c r="G46" s="72" t="s">
        <v>296</v>
      </c>
      <c r="H46" s="22"/>
      <c r="I46" s="15">
        <v>4</v>
      </c>
      <c r="J46" s="22"/>
      <c r="K46" s="22" t="s">
        <v>216</v>
      </c>
      <c r="L46" s="44"/>
      <c r="M46" s="22">
        <v>-8</v>
      </c>
      <c r="N46" s="22"/>
      <c r="O46" s="22">
        <v>3</v>
      </c>
      <c r="P46" s="38">
        <v>0.7</v>
      </c>
      <c r="Q46" s="22"/>
      <c r="R46" s="22"/>
      <c r="S46" s="22" t="s">
        <v>217</v>
      </c>
      <c r="T46" s="6"/>
      <c r="U46" s="6"/>
      <c r="AA46" s="185" t="s">
        <v>204</v>
      </c>
      <c r="AB46" s="26" t="s">
        <v>234</v>
      </c>
    </row>
    <row r="47" spans="2:28" ht="15" customHeight="1">
      <c r="B47" s="103" t="s">
        <v>316</v>
      </c>
      <c r="C47" s="106" t="s">
        <v>150</v>
      </c>
      <c r="D47" s="35">
        <v>1</v>
      </c>
      <c r="E47" s="35" t="e">
        <f>MAX(Character!$I$25,0)+9</f>
        <v>#VALUE!</v>
      </c>
      <c r="F47" s="65"/>
      <c r="G47" s="64" t="s">
        <v>296</v>
      </c>
      <c r="H47" s="68"/>
      <c r="I47" s="68">
        <v>-1</v>
      </c>
      <c r="J47" s="35"/>
      <c r="K47" s="35" t="s">
        <v>151</v>
      </c>
      <c r="L47" s="35"/>
      <c r="M47" s="35">
        <v>-11</v>
      </c>
      <c r="N47" s="35"/>
      <c r="O47" s="35">
        <v>5</v>
      </c>
      <c r="P47" s="36">
        <v>1.5</v>
      </c>
      <c r="Q47" s="35">
        <v>10</v>
      </c>
      <c r="R47" s="35">
        <v>13</v>
      </c>
      <c r="S47" s="35">
        <v>32</v>
      </c>
      <c r="T47" s="6"/>
      <c r="U47" s="6"/>
      <c r="AA47" s="185" t="s">
        <v>77</v>
      </c>
      <c r="AB47" s="25" t="s">
        <v>172</v>
      </c>
    </row>
    <row r="48" spans="2:28">
      <c r="B48" s="104" t="s">
        <v>316</v>
      </c>
      <c r="C48" s="96" t="s">
        <v>152</v>
      </c>
      <c r="D48" s="21">
        <v>1</v>
      </c>
      <c r="E48" s="21" t="e">
        <f>MAX(Character!$I$25,0)+2</f>
        <v>#VALUE!</v>
      </c>
      <c r="F48" s="66"/>
      <c r="G48" s="63" t="s">
        <v>296</v>
      </c>
      <c r="H48" s="14"/>
      <c r="I48" s="14">
        <v>4</v>
      </c>
      <c r="J48" s="21"/>
      <c r="K48" s="21" t="s">
        <v>153</v>
      </c>
      <c r="L48" s="21"/>
      <c r="M48" s="21">
        <v>-9</v>
      </c>
      <c r="N48" s="21"/>
      <c r="O48" s="21">
        <v>4</v>
      </c>
      <c r="P48" s="37">
        <v>1.5</v>
      </c>
      <c r="Q48" s="21">
        <v>15</v>
      </c>
      <c r="R48" s="21">
        <v>12</v>
      </c>
      <c r="S48" s="21">
        <v>10</v>
      </c>
      <c r="T48" s="6"/>
      <c r="U48" s="6"/>
      <c r="AA48" s="185" t="s">
        <v>281</v>
      </c>
      <c r="AB48" s="25" t="s">
        <v>127</v>
      </c>
    </row>
    <row r="49" spans="1:28">
      <c r="A49" s="23"/>
      <c r="B49" s="104" t="s">
        <v>316</v>
      </c>
      <c r="C49" s="96" t="s">
        <v>154</v>
      </c>
      <c r="D49" s="43" t="s">
        <v>122</v>
      </c>
      <c r="E49" s="21" t="e">
        <f>MAX(Character!$I$19,0)-2</f>
        <v>#VALUE!</v>
      </c>
      <c r="F49" s="66" t="e">
        <f>MAX(Character!$I$19,0)</f>
        <v>#VALUE!</v>
      </c>
      <c r="G49" s="63" t="s">
        <v>296</v>
      </c>
      <c r="H49" s="71" t="s">
        <v>296</v>
      </c>
      <c r="I49" s="14">
        <v>1</v>
      </c>
      <c r="J49" s="21">
        <v>3</v>
      </c>
      <c r="K49" s="21" t="s">
        <v>155</v>
      </c>
      <c r="L49" s="21" t="s">
        <v>109</v>
      </c>
      <c r="M49" s="21">
        <v>-10</v>
      </c>
      <c r="N49" s="21">
        <v>-12</v>
      </c>
      <c r="O49" s="21">
        <v>6</v>
      </c>
      <c r="P49" s="37">
        <v>2.8</v>
      </c>
      <c r="Q49" s="21">
        <v>19</v>
      </c>
      <c r="R49" s="21"/>
      <c r="S49" s="21">
        <v>8</v>
      </c>
      <c r="T49" s="6"/>
      <c r="U49" s="6"/>
      <c r="AA49" s="137" t="s">
        <v>233</v>
      </c>
      <c r="AB49" s="25" t="s">
        <v>116</v>
      </c>
    </row>
    <row r="50" spans="1:28">
      <c r="B50" s="104" t="s">
        <v>316</v>
      </c>
      <c r="C50" s="96" t="s">
        <v>156</v>
      </c>
      <c r="D50" s="43" t="s">
        <v>122</v>
      </c>
      <c r="E50" s="21" t="e">
        <f>MAX(Character!$I$19,0)-1</f>
        <v>#VALUE!</v>
      </c>
      <c r="F50" s="66" t="e">
        <f>MAX(Character!$I$19,0)+3</f>
        <v>#VALUE!</v>
      </c>
      <c r="G50" s="63" t="s">
        <v>296</v>
      </c>
      <c r="H50" s="71" t="s">
        <v>296</v>
      </c>
      <c r="I50" s="14">
        <v>2</v>
      </c>
      <c r="J50" s="21">
        <v>6</v>
      </c>
      <c r="K50" s="21" t="s">
        <v>157</v>
      </c>
      <c r="L50" s="21" t="s">
        <v>129</v>
      </c>
      <c r="M50" s="21">
        <v>-12</v>
      </c>
      <c r="N50" s="21">
        <v>-14</v>
      </c>
      <c r="O50" s="21">
        <v>7</v>
      </c>
      <c r="P50" s="37">
        <v>3.6</v>
      </c>
      <c r="Q50" s="21">
        <v>22</v>
      </c>
      <c r="R50" s="21"/>
      <c r="S50" s="21">
        <v>32</v>
      </c>
      <c r="T50" s="6"/>
      <c r="U50" s="6"/>
      <c r="AA50" s="185" t="s">
        <v>66</v>
      </c>
      <c r="AB50" s="25" t="s">
        <v>118</v>
      </c>
    </row>
    <row r="51" spans="1:28">
      <c r="B51" s="105" t="s">
        <v>316</v>
      </c>
      <c r="C51" s="107" t="s">
        <v>222</v>
      </c>
      <c r="D51" s="22">
        <v>2</v>
      </c>
      <c r="E51" s="22"/>
      <c r="F51" s="67" t="e">
        <f>MAX(Character!$I$19,0)+1</f>
        <v>#VALUE!</v>
      </c>
      <c r="G51" s="74"/>
      <c r="H51" s="73" t="s">
        <v>296</v>
      </c>
      <c r="I51" s="15"/>
      <c r="J51" s="22">
        <v>6</v>
      </c>
      <c r="K51" s="22"/>
      <c r="L51" s="22" t="s">
        <v>79</v>
      </c>
      <c r="M51" s="22"/>
      <c r="N51" s="22">
        <v>-9</v>
      </c>
      <c r="O51" s="22" t="s">
        <v>223</v>
      </c>
      <c r="P51" s="38" t="s">
        <v>224</v>
      </c>
      <c r="Q51" s="22"/>
      <c r="R51" s="22"/>
      <c r="S51" s="22">
        <v>4</v>
      </c>
      <c r="T51" s="6"/>
      <c r="U51" s="6"/>
      <c r="AA51" s="185" t="s">
        <v>191</v>
      </c>
      <c r="AB51" s="25" t="s">
        <v>135</v>
      </c>
    </row>
    <row r="52" spans="1:28" ht="15" customHeight="1">
      <c r="B52" s="103" t="s">
        <v>323</v>
      </c>
      <c r="C52" s="106" t="s">
        <v>158</v>
      </c>
      <c r="D52" s="35">
        <v>1</v>
      </c>
      <c r="E52" s="35" t="e">
        <f>MAX(Character!$I$25,0)+5</f>
        <v>#VALUE!</v>
      </c>
      <c r="F52" s="35"/>
      <c r="G52" s="64" t="s">
        <v>296</v>
      </c>
      <c r="H52" s="35"/>
      <c r="I52" s="35">
        <v>-1</v>
      </c>
      <c r="J52" s="35"/>
      <c r="K52" s="35" t="s">
        <v>159</v>
      </c>
      <c r="L52" s="35"/>
      <c r="M52" s="35">
        <v>-11</v>
      </c>
      <c r="N52" s="35"/>
      <c r="O52" s="35">
        <v>5</v>
      </c>
      <c r="P52" s="36">
        <v>1.7</v>
      </c>
      <c r="Q52" s="35">
        <v>14</v>
      </c>
      <c r="R52" s="35">
        <v>13</v>
      </c>
      <c r="S52" s="35">
        <v>24</v>
      </c>
      <c r="T52" s="6"/>
      <c r="U52" s="6"/>
      <c r="AA52" s="185" t="s">
        <v>82</v>
      </c>
      <c r="AB52" s="25" t="s">
        <v>169</v>
      </c>
    </row>
    <row r="53" spans="1:28">
      <c r="B53" s="104" t="s">
        <v>323</v>
      </c>
      <c r="C53" s="96" t="s">
        <v>160</v>
      </c>
      <c r="D53" s="43" t="s">
        <v>122</v>
      </c>
      <c r="E53" s="21" t="e">
        <f>MAX(Character!$I$25,0)-1</f>
        <v>#VALUE!</v>
      </c>
      <c r="F53" s="21" t="e">
        <f>MAX(Character!$I$25,0)-1</f>
        <v>#VALUE!</v>
      </c>
      <c r="G53" s="63" t="s">
        <v>296</v>
      </c>
      <c r="H53" s="63" t="s">
        <v>296</v>
      </c>
      <c r="I53" s="21">
        <v>1</v>
      </c>
      <c r="J53" s="21">
        <v>2</v>
      </c>
      <c r="K53" s="21" t="s">
        <v>102</v>
      </c>
      <c r="L53" s="21" t="s">
        <v>161</v>
      </c>
      <c r="M53" s="21">
        <v>-10</v>
      </c>
      <c r="N53" s="21">
        <v>-10</v>
      </c>
      <c r="O53" s="21">
        <v>5</v>
      </c>
      <c r="P53" s="37">
        <v>3</v>
      </c>
      <c r="Q53" s="21">
        <v>22</v>
      </c>
      <c r="R53" s="21"/>
      <c r="S53" s="21">
        <v>30</v>
      </c>
      <c r="T53" s="6"/>
      <c r="U53" s="6"/>
      <c r="AA53" s="137" t="s">
        <v>234</v>
      </c>
      <c r="AB53" s="25" t="s">
        <v>145</v>
      </c>
    </row>
    <row r="54" spans="1:28">
      <c r="B54" s="104" t="s">
        <v>323</v>
      </c>
      <c r="C54" s="96" t="s">
        <v>162</v>
      </c>
      <c r="D54" s="43" t="s">
        <v>122</v>
      </c>
      <c r="E54" s="21" t="e">
        <f>MAX(Character!$I$19,0)+2</f>
        <v>#VALUE!</v>
      </c>
      <c r="F54" s="21" t="e">
        <f>MAX(Character!$I$25,0)+2</f>
        <v>#VALUE!</v>
      </c>
      <c r="G54" s="63" t="s">
        <v>296</v>
      </c>
      <c r="H54" s="63" t="s">
        <v>296</v>
      </c>
      <c r="I54" s="21">
        <v>-4</v>
      </c>
      <c r="J54" s="21">
        <v>-2</v>
      </c>
      <c r="K54" s="21" t="s">
        <v>104</v>
      </c>
      <c r="L54" s="21" t="s">
        <v>129</v>
      </c>
      <c r="M54" s="21">
        <v>-13</v>
      </c>
      <c r="N54" s="21">
        <v>-13</v>
      </c>
      <c r="O54" s="21">
        <v>6</v>
      </c>
      <c r="P54" s="37">
        <v>3.4</v>
      </c>
      <c r="Q54" s="21">
        <v>17</v>
      </c>
      <c r="R54" s="21">
        <v>14</v>
      </c>
      <c r="S54" s="21">
        <v>38</v>
      </c>
      <c r="T54" s="6"/>
      <c r="U54" s="6"/>
      <c r="AA54" s="185" t="s">
        <v>172</v>
      </c>
      <c r="AB54" s="25" t="s">
        <v>186</v>
      </c>
    </row>
    <row r="55" spans="1:28">
      <c r="B55" s="104" t="s">
        <v>323</v>
      </c>
      <c r="C55" s="96" t="s">
        <v>163</v>
      </c>
      <c r="D55" s="21">
        <v>2</v>
      </c>
      <c r="E55" s="21"/>
      <c r="F55" s="21" t="e">
        <f>MAX(Character!$I$19,0)-2</f>
        <v>#VALUE!</v>
      </c>
      <c r="G55" s="21"/>
      <c r="H55" s="63" t="s">
        <v>296</v>
      </c>
      <c r="I55" s="21"/>
      <c r="J55" s="21">
        <v>-3</v>
      </c>
      <c r="K55" s="21"/>
      <c r="L55" s="21" t="s">
        <v>164</v>
      </c>
      <c r="M55" s="21"/>
      <c r="N55" s="21">
        <v>-15</v>
      </c>
      <c r="O55" s="21">
        <v>8</v>
      </c>
      <c r="P55" s="37">
        <v>7</v>
      </c>
      <c r="Q55" s="21">
        <v>25</v>
      </c>
      <c r="R55" s="21"/>
      <c r="S55" s="21">
        <v>5</v>
      </c>
      <c r="T55" s="6"/>
      <c r="U55" s="6"/>
      <c r="AA55" s="185" t="s">
        <v>127</v>
      </c>
      <c r="AB55" s="25" t="s">
        <v>163</v>
      </c>
    </row>
    <row r="56" spans="1:28">
      <c r="B56" s="105" t="s">
        <v>323</v>
      </c>
      <c r="C56" s="107" t="s">
        <v>221</v>
      </c>
      <c r="D56" s="45" t="s">
        <v>122</v>
      </c>
      <c r="E56" s="22" t="e">
        <f>MAX(Character!$I$19,0)-3</f>
        <v>#VALUE!</v>
      </c>
      <c r="F56" s="22" t="e">
        <f>MAX(Character!$I$19,0)-2</f>
        <v>#VALUE!</v>
      </c>
      <c r="G56" s="74" t="s">
        <v>296</v>
      </c>
      <c r="H56" s="74" t="s">
        <v>296</v>
      </c>
      <c r="I56" s="22">
        <v>4</v>
      </c>
      <c r="J56" s="22">
        <v>7</v>
      </c>
      <c r="K56" s="22" t="s">
        <v>74</v>
      </c>
      <c r="L56" s="22" t="s">
        <v>153</v>
      </c>
      <c r="M56" s="22">
        <v>-9</v>
      </c>
      <c r="N56" s="22">
        <v>-11</v>
      </c>
      <c r="O56" s="22">
        <v>3</v>
      </c>
      <c r="P56" s="38">
        <v>2</v>
      </c>
      <c r="Q56" s="22">
        <v>5</v>
      </c>
      <c r="R56" s="22">
        <v>5</v>
      </c>
      <c r="S56" s="22"/>
      <c r="T56" s="6"/>
      <c r="U56" s="6"/>
      <c r="AA56" s="185" t="s">
        <v>116</v>
      </c>
      <c r="AB56" s="25" t="s">
        <v>162</v>
      </c>
    </row>
    <row r="57" spans="1:28" s="4" customFormat="1" ht="15" customHeight="1">
      <c r="B57" s="103" t="s">
        <v>324</v>
      </c>
      <c r="C57" s="106" t="s">
        <v>165</v>
      </c>
      <c r="D57" s="39" t="s">
        <v>122</v>
      </c>
      <c r="E57" s="35" t="e">
        <f>MAX(Character!$I$20,0)+5</f>
        <v>#VALUE!</v>
      </c>
      <c r="F57" s="35" t="e">
        <f>MAX(Character!$I$20,0)+9</f>
        <v>#VALUE!</v>
      </c>
      <c r="G57" s="35">
        <v>5</v>
      </c>
      <c r="H57" s="35">
        <v>5</v>
      </c>
      <c r="I57" s="35">
        <v>2</v>
      </c>
      <c r="J57" s="35">
        <v>7</v>
      </c>
      <c r="K57" s="35" t="s">
        <v>166</v>
      </c>
      <c r="L57" s="35" t="s">
        <v>166</v>
      </c>
      <c r="M57" s="35">
        <v>-8</v>
      </c>
      <c r="N57" s="35">
        <v>-8</v>
      </c>
      <c r="O57" s="35">
        <v>7</v>
      </c>
      <c r="P57" s="36">
        <v>1.6</v>
      </c>
      <c r="Q57" s="35">
        <v>6</v>
      </c>
      <c r="R57" s="35">
        <v>10</v>
      </c>
      <c r="S57" s="35">
        <v>4</v>
      </c>
      <c r="T57" s="6"/>
      <c r="U57" s="6"/>
      <c r="AA57" s="185" t="s">
        <v>118</v>
      </c>
      <c r="AB57" s="25" t="s">
        <v>165</v>
      </c>
    </row>
    <row r="58" spans="1:28" s="4" customFormat="1">
      <c r="B58" s="104" t="s">
        <v>324</v>
      </c>
      <c r="C58" s="96" t="s">
        <v>167</v>
      </c>
      <c r="D58" s="21">
        <v>2</v>
      </c>
      <c r="E58" s="21"/>
      <c r="F58" s="21" t="e">
        <f>MAX(Character!$I$25,0)+7</f>
        <v>#VALUE!</v>
      </c>
      <c r="G58" s="21"/>
      <c r="H58" s="21">
        <v>12</v>
      </c>
      <c r="I58" s="21"/>
      <c r="J58" s="21">
        <v>9</v>
      </c>
      <c r="K58" s="21"/>
      <c r="L58" s="21" t="s">
        <v>149</v>
      </c>
      <c r="M58" s="21"/>
      <c r="N58" s="21">
        <v>-10</v>
      </c>
      <c r="O58" s="21">
        <v>8</v>
      </c>
      <c r="P58" s="37">
        <v>2.8</v>
      </c>
      <c r="Q58" s="21">
        <v>12</v>
      </c>
      <c r="R58" s="21">
        <v>6</v>
      </c>
      <c r="S58" s="21">
        <v>15</v>
      </c>
      <c r="T58" s="6"/>
      <c r="U58" s="6"/>
      <c r="AA58" s="185" t="s">
        <v>135</v>
      </c>
      <c r="AB58" s="25" t="s">
        <v>209</v>
      </c>
    </row>
    <row r="59" spans="1:28" s="4" customFormat="1">
      <c r="B59" s="104" t="s">
        <v>324</v>
      </c>
      <c r="C59" s="96" t="s">
        <v>168</v>
      </c>
      <c r="D59" s="21">
        <v>2</v>
      </c>
      <c r="E59" s="21"/>
      <c r="F59" s="21" t="e">
        <f>MAX(Character!$I$20,0)+6</f>
        <v>#VALUE!</v>
      </c>
      <c r="G59" s="21"/>
      <c r="H59" s="63" t="s">
        <v>296</v>
      </c>
      <c r="I59" s="21"/>
      <c r="J59" s="21">
        <v>11</v>
      </c>
      <c r="K59" s="21"/>
      <c r="L59" s="21" t="s">
        <v>166</v>
      </c>
      <c r="M59" s="21"/>
      <c r="N59" s="21">
        <v>-8</v>
      </c>
      <c r="O59" s="21">
        <v>8</v>
      </c>
      <c r="P59" s="37">
        <v>1.6</v>
      </c>
      <c r="Q59" s="21">
        <v>7</v>
      </c>
      <c r="R59" s="21">
        <v>10</v>
      </c>
      <c r="S59" s="21">
        <v>9</v>
      </c>
      <c r="T59" s="6"/>
      <c r="U59" s="6"/>
      <c r="AA59" s="185" t="s">
        <v>169</v>
      </c>
      <c r="AB59" s="25" t="s">
        <v>152</v>
      </c>
    </row>
    <row r="60" spans="1:28">
      <c r="B60" s="104" t="s">
        <v>324</v>
      </c>
      <c r="C60" s="96" t="s">
        <v>169</v>
      </c>
      <c r="D60" s="21">
        <v>2</v>
      </c>
      <c r="E60" s="21"/>
      <c r="F60" s="21" t="e">
        <f>MAX(Character!$I$20,0)+13</f>
        <v>#VALUE!</v>
      </c>
      <c r="G60" s="21"/>
      <c r="H60" s="21">
        <v>8</v>
      </c>
      <c r="I60" s="21"/>
      <c r="J60" s="21">
        <v>12</v>
      </c>
      <c r="K60" s="21"/>
      <c r="L60" s="21" t="s">
        <v>170</v>
      </c>
      <c r="M60" s="21"/>
      <c r="N60" s="21">
        <v>-9</v>
      </c>
      <c r="O60" s="21">
        <v>8</v>
      </c>
      <c r="P60" s="37">
        <v>2.6</v>
      </c>
      <c r="Q60" s="21">
        <v>8</v>
      </c>
      <c r="R60" s="21">
        <v>12</v>
      </c>
      <c r="S60" s="21">
        <v>25</v>
      </c>
      <c r="T60" s="6"/>
      <c r="U60" s="6"/>
      <c r="AA60" s="185" t="s">
        <v>145</v>
      </c>
      <c r="AB60" s="25" t="s">
        <v>154</v>
      </c>
    </row>
    <row r="61" spans="1:28">
      <c r="B61" s="104" t="s">
        <v>324</v>
      </c>
      <c r="C61" s="96" t="s">
        <v>225</v>
      </c>
      <c r="D61" s="21">
        <v>2</v>
      </c>
      <c r="E61" s="21"/>
      <c r="F61" s="21" t="e">
        <f>MAX(Character!$I$25,0)+2</f>
        <v>#VALUE!</v>
      </c>
      <c r="G61" s="21"/>
      <c r="H61" s="21">
        <v>7</v>
      </c>
      <c r="I61" s="21"/>
      <c r="J61" s="21">
        <v>10</v>
      </c>
      <c r="K61" s="21"/>
      <c r="L61" s="21" t="s">
        <v>166</v>
      </c>
      <c r="M61" s="21"/>
      <c r="N61" s="21">
        <v>-14</v>
      </c>
      <c r="O61" s="21">
        <v>6</v>
      </c>
      <c r="P61" s="37">
        <v>1.4</v>
      </c>
      <c r="Q61" s="21">
        <v>6</v>
      </c>
      <c r="R61" s="21"/>
      <c r="S61" s="21">
        <v>2</v>
      </c>
      <c r="T61" s="6"/>
      <c r="U61" s="6"/>
      <c r="AA61" s="185" t="s">
        <v>186</v>
      </c>
      <c r="AB61" s="25" t="s">
        <v>177</v>
      </c>
    </row>
    <row r="62" spans="1:28">
      <c r="B62" s="104" t="s">
        <v>324</v>
      </c>
      <c r="C62" s="96" t="s">
        <v>226</v>
      </c>
      <c r="D62" s="21">
        <v>2</v>
      </c>
      <c r="E62" s="21"/>
      <c r="F62" s="21" t="e">
        <f>MAX(Character!$I$20,0)+5</f>
        <v>#VALUE!</v>
      </c>
      <c r="G62" s="21"/>
      <c r="H62" s="21">
        <v>1</v>
      </c>
      <c r="I62" s="21"/>
      <c r="J62" s="21">
        <v>7</v>
      </c>
      <c r="K62" s="21"/>
      <c r="L62" s="21" t="s">
        <v>157</v>
      </c>
      <c r="M62" s="21"/>
      <c r="N62" s="21">
        <v>-13</v>
      </c>
      <c r="O62" s="21">
        <v>8</v>
      </c>
      <c r="P62" s="37">
        <v>1.2</v>
      </c>
      <c r="Q62" s="21"/>
      <c r="R62" s="21">
        <v>8</v>
      </c>
      <c r="S62" s="21">
        <v>4</v>
      </c>
      <c r="T62" s="6"/>
      <c r="U62" s="6"/>
      <c r="AA62" s="185" t="s">
        <v>163</v>
      </c>
      <c r="AB62" s="25" t="s">
        <v>120</v>
      </c>
    </row>
    <row r="63" spans="1:28">
      <c r="B63" s="105" t="s">
        <v>324</v>
      </c>
      <c r="C63" s="91" t="s">
        <v>234</v>
      </c>
      <c r="D63" s="22">
        <v>2</v>
      </c>
      <c r="E63" s="22"/>
      <c r="F63" s="22" t="e">
        <f>MAX(Character!$I$20,0)+6</f>
        <v>#VALUE!</v>
      </c>
      <c r="G63" s="22"/>
      <c r="H63" s="22">
        <v>3</v>
      </c>
      <c r="I63" s="22"/>
      <c r="J63" s="22">
        <v>6</v>
      </c>
      <c r="K63" s="22"/>
      <c r="L63" s="22" t="s">
        <v>146</v>
      </c>
      <c r="M63" s="22"/>
      <c r="N63" s="22">
        <v>-10</v>
      </c>
      <c r="O63" s="22">
        <v>7</v>
      </c>
      <c r="P63" s="38">
        <v>1.2</v>
      </c>
      <c r="Q63" s="22">
        <v>6</v>
      </c>
      <c r="R63" s="22">
        <v>8</v>
      </c>
      <c r="S63" s="22">
        <v>5</v>
      </c>
      <c r="T63" s="6"/>
      <c r="U63" s="6"/>
      <c r="AA63" s="185" t="s">
        <v>162</v>
      </c>
      <c r="AB63" s="26" t="s">
        <v>237</v>
      </c>
    </row>
    <row r="64" spans="1:28" ht="15" customHeight="1">
      <c r="B64" s="103" t="s">
        <v>325</v>
      </c>
      <c r="C64" s="106" t="s">
        <v>171</v>
      </c>
      <c r="D64" s="35">
        <v>2</v>
      </c>
      <c r="E64" s="35"/>
      <c r="F64" s="35" t="e">
        <f>MAX(Character!$I$25,0)+4</f>
        <v>#VALUE!</v>
      </c>
      <c r="G64" s="35"/>
      <c r="H64" s="35">
        <v>13</v>
      </c>
      <c r="I64" s="35"/>
      <c r="J64" s="35">
        <v>9</v>
      </c>
      <c r="K64" s="35"/>
      <c r="L64" s="35" t="s">
        <v>124</v>
      </c>
      <c r="M64" s="35"/>
      <c r="N64" s="35">
        <v>-11</v>
      </c>
      <c r="O64" s="35">
        <v>9</v>
      </c>
      <c r="P64" s="36">
        <v>2.5</v>
      </c>
      <c r="Q64" s="35">
        <v>13</v>
      </c>
      <c r="R64" s="35">
        <v>8</v>
      </c>
      <c r="S64" s="35">
        <v>20</v>
      </c>
      <c r="T64" s="6"/>
      <c r="U64" s="6"/>
      <c r="AA64" s="185" t="s">
        <v>165</v>
      </c>
      <c r="AB64" s="26" t="s">
        <v>238</v>
      </c>
    </row>
    <row r="65" spans="1:28" s="4" customFormat="1">
      <c r="B65" s="104" t="s">
        <v>325</v>
      </c>
      <c r="C65" s="96" t="s">
        <v>172</v>
      </c>
      <c r="D65" s="21">
        <v>2</v>
      </c>
      <c r="E65" s="21"/>
      <c r="F65" s="21" t="e">
        <f>MAX(Character!$I$25,0)+7</f>
        <v>#VALUE!</v>
      </c>
      <c r="G65" s="21"/>
      <c r="H65" s="21">
        <v>9</v>
      </c>
      <c r="I65" s="21"/>
      <c r="J65" s="21">
        <v>11</v>
      </c>
      <c r="K65" s="21"/>
      <c r="L65" s="21" t="s">
        <v>109</v>
      </c>
      <c r="M65" s="21"/>
      <c r="N65" s="21">
        <v>-10</v>
      </c>
      <c r="O65" s="21">
        <v>8</v>
      </c>
      <c r="P65" s="37">
        <v>3</v>
      </c>
      <c r="Q65" s="21">
        <v>12</v>
      </c>
      <c r="R65" s="21">
        <v>12</v>
      </c>
      <c r="S65" s="21">
        <v>35</v>
      </c>
      <c r="T65" s="6"/>
      <c r="U65" s="6"/>
      <c r="AA65" s="185" t="s">
        <v>209</v>
      </c>
      <c r="AB65" s="25" t="s">
        <v>220</v>
      </c>
    </row>
    <row r="66" spans="1:28">
      <c r="B66" s="104" t="s">
        <v>325</v>
      </c>
      <c r="C66" s="96" t="s">
        <v>173</v>
      </c>
      <c r="D66" s="21">
        <v>2</v>
      </c>
      <c r="E66" s="21"/>
      <c r="F66" s="21" t="e">
        <f>MAX(Character!$I$20,0)+8</f>
        <v>#VALUE!</v>
      </c>
      <c r="G66" s="21"/>
      <c r="H66" s="21">
        <v>15</v>
      </c>
      <c r="I66" s="21"/>
      <c r="J66" s="21">
        <v>13</v>
      </c>
      <c r="K66" s="21"/>
      <c r="L66" s="21" t="s">
        <v>174</v>
      </c>
      <c r="M66" s="21"/>
      <c r="N66" s="21">
        <v>-10</v>
      </c>
      <c r="O66" s="21">
        <v>9</v>
      </c>
      <c r="P66" s="37">
        <v>2.2999999999999998</v>
      </c>
      <c r="Q66" s="21">
        <v>9</v>
      </c>
      <c r="R66" s="21">
        <v>10</v>
      </c>
      <c r="S66" s="21">
        <v>21</v>
      </c>
      <c r="T66" s="6"/>
      <c r="U66" s="6"/>
      <c r="AA66" s="185" t="s">
        <v>152</v>
      </c>
      <c r="AB66" s="25" t="s">
        <v>222</v>
      </c>
    </row>
    <row r="67" spans="1:28">
      <c r="B67" s="104" t="s">
        <v>325</v>
      </c>
      <c r="C67" s="96" t="s">
        <v>175</v>
      </c>
      <c r="D67" s="21">
        <v>2</v>
      </c>
      <c r="E67" s="21"/>
      <c r="F67" s="21" t="e">
        <f>MAX(Character!$I$25,0)+5</f>
        <v>#VALUE!</v>
      </c>
      <c r="G67" s="21"/>
      <c r="H67" s="21">
        <v>10</v>
      </c>
      <c r="I67" s="21"/>
      <c r="J67" s="21">
        <v>7</v>
      </c>
      <c r="K67" s="21"/>
      <c r="L67" s="21" t="s">
        <v>129</v>
      </c>
      <c r="M67" s="21"/>
      <c r="N67" s="21">
        <v>-11</v>
      </c>
      <c r="O67" s="21">
        <v>8</v>
      </c>
      <c r="P67" s="37">
        <v>3.3</v>
      </c>
      <c r="Q67" s="21">
        <v>15</v>
      </c>
      <c r="R67" s="21">
        <v>5</v>
      </c>
      <c r="S67" s="21">
        <v>15</v>
      </c>
      <c r="T67" s="6"/>
      <c r="U67" s="6"/>
      <c r="AA67" s="185" t="s">
        <v>154</v>
      </c>
      <c r="AB67" s="25" t="s">
        <v>182</v>
      </c>
    </row>
    <row r="68" spans="1:28">
      <c r="B68" s="104" t="s">
        <v>325</v>
      </c>
      <c r="C68" s="59" t="s">
        <v>231</v>
      </c>
      <c r="D68" s="21">
        <v>2</v>
      </c>
      <c r="E68" s="21"/>
      <c r="F68" s="21" t="e">
        <f>MAX(Character!$I$25,0)+2</f>
        <v>#VALUE!</v>
      </c>
      <c r="G68" s="21"/>
      <c r="H68" s="21">
        <v>6</v>
      </c>
      <c r="I68" s="21"/>
      <c r="J68" s="21">
        <v>8</v>
      </c>
      <c r="K68" s="21"/>
      <c r="L68" s="21" t="s">
        <v>72</v>
      </c>
      <c r="M68" s="21"/>
      <c r="N68" s="21">
        <v>-12</v>
      </c>
      <c r="O68" s="21">
        <v>8</v>
      </c>
      <c r="P68" s="37">
        <v>1</v>
      </c>
      <c r="Q68" s="21">
        <v>4</v>
      </c>
      <c r="R68" s="21">
        <v>5</v>
      </c>
      <c r="S68" s="21">
        <v>3</v>
      </c>
      <c r="T68" s="6"/>
      <c r="U68" s="6"/>
      <c r="AA68" s="185" t="s">
        <v>177</v>
      </c>
      <c r="AB68" s="26" t="s">
        <v>232</v>
      </c>
    </row>
    <row r="69" spans="1:28">
      <c r="B69" s="104" t="s">
        <v>325</v>
      </c>
      <c r="C69" s="59" t="s">
        <v>233</v>
      </c>
      <c r="D69" s="21">
        <v>2</v>
      </c>
      <c r="E69" s="21"/>
      <c r="F69" s="21" t="e">
        <f>MAX(Character!$I$25,0)+3</f>
        <v>#VALUE!</v>
      </c>
      <c r="G69" s="21"/>
      <c r="H69" s="63" t="s">
        <v>296</v>
      </c>
      <c r="I69" s="21"/>
      <c r="J69" s="21">
        <v>6</v>
      </c>
      <c r="K69" s="21"/>
      <c r="L69" s="21" t="s">
        <v>227</v>
      </c>
      <c r="M69" s="21"/>
      <c r="N69" s="21">
        <v>-13</v>
      </c>
      <c r="O69" s="21">
        <v>7</v>
      </c>
      <c r="P69" s="37">
        <v>1.5</v>
      </c>
      <c r="Q69" s="21">
        <v>7</v>
      </c>
      <c r="R69" s="21">
        <v>5</v>
      </c>
      <c r="S69" s="21">
        <v>5</v>
      </c>
      <c r="T69" s="6"/>
      <c r="U69" s="6"/>
      <c r="AA69" s="185" t="s">
        <v>120</v>
      </c>
      <c r="AB69" s="25" t="s">
        <v>150</v>
      </c>
    </row>
    <row r="70" spans="1:28" s="4" customFormat="1">
      <c r="B70" s="105" t="s">
        <v>325</v>
      </c>
      <c r="C70" s="91" t="s">
        <v>232</v>
      </c>
      <c r="D70" s="22">
        <v>2</v>
      </c>
      <c r="E70" s="22"/>
      <c r="F70" s="22" t="e">
        <f>MAX(Character!$I$19,0)+3</f>
        <v>#VALUE!</v>
      </c>
      <c r="G70" s="22"/>
      <c r="H70" s="22">
        <v>8</v>
      </c>
      <c r="I70" s="22"/>
      <c r="J70" s="22">
        <v>4</v>
      </c>
      <c r="K70" s="22"/>
      <c r="L70" s="22" t="s">
        <v>228</v>
      </c>
      <c r="M70" s="22"/>
      <c r="N70" s="22">
        <v>-11</v>
      </c>
      <c r="O70" s="22">
        <v>6</v>
      </c>
      <c r="P70" s="38">
        <v>3</v>
      </c>
      <c r="Q70" s="22">
        <v>9</v>
      </c>
      <c r="R70" s="22">
        <v>4</v>
      </c>
      <c r="S70" s="22">
        <v>4</v>
      </c>
      <c r="T70" s="6"/>
      <c r="U70" s="6"/>
      <c r="AA70" s="137" t="s">
        <v>237</v>
      </c>
      <c r="AB70" s="25" t="s">
        <v>147</v>
      </c>
    </row>
    <row r="71" spans="1:28" ht="15.75" customHeight="1">
      <c r="B71" s="103" t="s">
        <v>326</v>
      </c>
      <c r="C71" s="106" t="s">
        <v>176</v>
      </c>
      <c r="D71" s="39" t="s">
        <v>122</v>
      </c>
      <c r="E71" s="35" t="e">
        <f>MAX(Character!$I$25,0)</f>
        <v>#VALUE!</v>
      </c>
      <c r="F71" s="35" t="e">
        <f>MAX(Character!$I$25,0)+4</f>
        <v>#VALUE!</v>
      </c>
      <c r="G71" s="35">
        <v>12</v>
      </c>
      <c r="H71" s="35">
        <v>12</v>
      </c>
      <c r="I71" s="35">
        <v>10</v>
      </c>
      <c r="J71" s="35">
        <v>10</v>
      </c>
      <c r="K71" s="35" t="s">
        <v>161</v>
      </c>
      <c r="L71" s="35" t="s">
        <v>161</v>
      </c>
      <c r="M71" s="35">
        <v>-10</v>
      </c>
      <c r="N71" s="35">
        <v>-10</v>
      </c>
      <c r="O71" s="35">
        <v>10</v>
      </c>
      <c r="P71" s="36">
        <v>3</v>
      </c>
      <c r="Q71" s="35">
        <v>16</v>
      </c>
      <c r="R71" s="35">
        <v>10</v>
      </c>
      <c r="S71" s="35">
        <v>20</v>
      </c>
      <c r="T71" s="6"/>
      <c r="U71" s="6"/>
      <c r="AA71" s="137" t="s">
        <v>238</v>
      </c>
      <c r="AB71" s="25" t="s">
        <v>123</v>
      </c>
    </row>
    <row r="72" spans="1:28">
      <c r="B72" s="104" t="s">
        <v>326</v>
      </c>
      <c r="C72" s="96" t="s">
        <v>177</v>
      </c>
      <c r="D72" s="21">
        <v>2</v>
      </c>
      <c r="E72" s="21"/>
      <c r="F72" s="21" t="e">
        <f>MAX(Character!$I$19,0)+6</f>
        <v>#VALUE!</v>
      </c>
      <c r="G72" s="21"/>
      <c r="H72" s="21">
        <v>16</v>
      </c>
      <c r="I72" s="21"/>
      <c r="J72" s="21">
        <v>11</v>
      </c>
      <c r="K72" s="21"/>
      <c r="L72" s="21" t="s">
        <v>112</v>
      </c>
      <c r="M72" s="21"/>
      <c r="N72" s="21">
        <v>-13</v>
      </c>
      <c r="O72" s="21">
        <v>9</v>
      </c>
      <c r="P72" s="37">
        <v>2.9</v>
      </c>
      <c r="Q72" s="21">
        <v>13</v>
      </c>
      <c r="R72" s="21">
        <v>7</v>
      </c>
      <c r="S72" s="21">
        <v>25</v>
      </c>
      <c r="T72" s="6"/>
      <c r="U72" s="6"/>
      <c r="AA72" s="185" t="s">
        <v>220</v>
      </c>
      <c r="AB72" s="25" t="s">
        <v>188</v>
      </c>
    </row>
    <row r="73" spans="1:28">
      <c r="B73" s="104" t="s">
        <v>326</v>
      </c>
      <c r="C73" s="96" t="s">
        <v>178</v>
      </c>
      <c r="D73" s="21">
        <v>2</v>
      </c>
      <c r="E73" s="21"/>
      <c r="F73" s="21" t="e">
        <f>MAX(Character!$I$25,0)+5</f>
        <v>#VALUE!</v>
      </c>
      <c r="G73" s="21"/>
      <c r="H73" s="21">
        <v>19</v>
      </c>
      <c r="I73" s="21"/>
      <c r="J73" s="21">
        <v>10</v>
      </c>
      <c r="K73" s="21"/>
      <c r="L73" s="21" t="s">
        <v>104</v>
      </c>
      <c r="M73" s="21"/>
      <c r="N73" s="21">
        <v>-12</v>
      </c>
      <c r="O73" s="21">
        <v>9</v>
      </c>
      <c r="P73" s="37">
        <v>3.2</v>
      </c>
      <c r="Q73" s="21">
        <v>16</v>
      </c>
      <c r="R73" s="21">
        <v>9</v>
      </c>
      <c r="S73" s="21">
        <v>30</v>
      </c>
      <c r="T73" s="6"/>
      <c r="U73" s="6"/>
      <c r="AA73" s="185" t="s">
        <v>222</v>
      </c>
      <c r="AB73" s="25" t="s">
        <v>184</v>
      </c>
    </row>
    <row r="74" spans="1:28">
      <c r="B74" s="104" t="s">
        <v>326</v>
      </c>
      <c r="C74" s="96" t="s">
        <v>179</v>
      </c>
      <c r="D74" s="21">
        <v>2</v>
      </c>
      <c r="E74" s="21"/>
      <c r="F74" s="21" t="e">
        <f>MAX(Character!$I$19,0)+2</f>
        <v>#VALUE!</v>
      </c>
      <c r="G74" s="21"/>
      <c r="H74" s="21">
        <v>23</v>
      </c>
      <c r="I74" s="21"/>
      <c r="J74" s="21">
        <v>8</v>
      </c>
      <c r="K74" s="21"/>
      <c r="L74" s="21" t="s">
        <v>126</v>
      </c>
      <c r="M74" s="21"/>
      <c r="N74" s="21">
        <v>-12</v>
      </c>
      <c r="O74" s="21">
        <v>10</v>
      </c>
      <c r="P74" s="37">
        <v>3</v>
      </c>
      <c r="Q74" s="21">
        <v>24</v>
      </c>
      <c r="R74" s="21">
        <v>10</v>
      </c>
      <c r="S74" s="21">
        <v>30</v>
      </c>
      <c r="T74" s="6"/>
      <c r="U74" s="6"/>
      <c r="AA74" s="185" t="s">
        <v>182</v>
      </c>
      <c r="AB74" s="25" t="s">
        <v>219</v>
      </c>
    </row>
    <row r="75" spans="1:28">
      <c r="B75" s="105" t="s">
        <v>326</v>
      </c>
      <c r="C75" s="91" t="s">
        <v>230</v>
      </c>
      <c r="D75" s="22">
        <v>2</v>
      </c>
      <c r="E75" s="22"/>
      <c r="F75" s="22" t="e">
        <f>MAX(Character!$I$19,0)+1</f>
        <v>#VALUE!</v>
      </c>
      <c r="G75" s="22"/>
      <c r="H75" s="22">
        <v>18</v>
      </c>
      <c r="I75" s="22"/>
      <c r="J75" s="22">
        <v>1</v>
      </c>
      <c r="K75" s="22"/>
      <c r="L75" s="22" t="s">
        <v>229</v>
      </c>
      <c r="M75" s="22"/>
      <c r="N75" s="21">
        <v>-15</v>
      </c>
      <c r="O75" s="21">
        <v>5</v>
      </c>
      <c r="P75" s="37">
        <v>4</v>
      </c>
      <c r="Q75" s="21">
        <v>10</v>
      </c>
      <c r="R75" s="21"/>
      <c r="S75" s="21">
        <v>4</v>
      </c>
      <c r="T75" s="6"/>
      <c r="U75" s="6"/>
      <c r="AA75" s="137" t="s">
        <v>232</v>
      </c>
      <c r="AB75" s="25" t="s">
        <v>136</v>
      </c>
    </row>
    <row r="76" spans="1:28">
      <c r="B76" s="97" t="s">
        <v>48</v>
      </c>
      <c r="C76" s="115" t="s">
        <v>338</v>
      </c>
      <c r="D76" s="97" t="s">
        <v>53</v>
      </c>
      <c r="E76" s="97" t="s">
        <v>180</v>
      </c>
      <c r="F76" s="97" t="s">
        <v>54</v>
      </c>
      <c r="G76" s="97" t="s">
        <v>68</v>
      </c>
      <c r="H76" s="97" t="s">
        <v>25</v>
      </c>
      <c r="I76" s="97" t="s">
        <v>55</v>
      </c>
      <c r="J76" s="97" t="s">
        <v>14</v>
      </c>
      <c r="K76" s="97" t="s">
        <v>1</v>
      </c>
      <c r="L76" s="97" t="s">
        <v>2</v>
      </c>
      <c r="M76" s="99" t="s">
        <v>15</v>
      </c>
      <c r="N76" s="94"/>
      <c r="O76" s="93"/>
      <c r="P76" s="93"/>
      <c r="Q76" s="93"/>
      <c r="R76" s="93"/>
      <c r="S76" s="93"/>
      <c r="T76" s="6"/>
      <c r="U76" s="6"/>
      <c r="AA76" s="185" t="s">
        <v>150</v>
      </c>
      <c r="AB76" s="25" t="s">
        <v>171</v>
      </c>
    </row>
    <row r="77" spans="1:28" ht="15" customHeight="1">
      <c r="B77" s="103" t="s">
        <v>327</v>
      </c>
      <c r="C77" s="106" t="s">
        <v>181</v>
      </c>
      <c r="D77" s="35">
        <v>2</v>
      </c>
      <c r="E77" s="35">
        <v>75</v>
      </c>
      <c r="F77" s="280">
        <v>8</v>
      </c>
      <c r="G77" s="64" t="s">
        <v>296</v>
      </c>
      <c r="H77" s="35">
        <v>-6</v>
      </c>
      <c r="I77" s="35">
        <v>20</v>
      </c>
      <c r="J77" s="36">
        <v>0.8</v>
      </c>
      <c r="K77" s="35">
        <v>5</v>
      </c>
      <c r="L77" s="35">
        <v>8</v>
      </c>
      <c r="M77" s="65">
        <v>10</v>
      </c>
      <c r="N77" s="78"/>
      <c r="O77" s="80"/>
      <c r="P77" s="80"/>
      <c r="Q77" s="80"/>
      <c r="R77" s="80"/>
      <c r="S77" s="80"/>
      <c r="T77" s="6"/>
      <c r="U77" s="6"/>
      <c r="AA77" s="185" t="s">
        <v>147</v>
      </c>
      <c r="AB77" s="25" t="s">
        <v>99</v>
      </c>
    </row>
    <row r="78" spans="1:28">
      <c r="B78" s="104" t="s">
        <v>327</v>
      </c>
      <c r="C78" s="96" t="s">
        <v>34</v>
      </c>
      <c r="D78" s="21">
        <v>2</v>
      </c>
      <c r="E78" s="21">
        <v>100</v>
      </c>
      <c r="F78" s="62">
        <v>18</v>
      </c>
      <c r="G78" s="63" t="s">
        <v>296</v>
      </c>
      <c r="H78" s="21">
        <v>-7</v>
      </c>
      <c r="I78" s="21">
        <v>45</v>
      </c>
      <c r="J78" s="37">
        <v>1.2</v>
      </c>
      <c r="K78" s="21">
        <v>10</v>
      </c>
      <c r="L78" s="21">
        <v>11</v>
      </c>
      <c r="M78" s="66">
        <v>32</v>
      </c>
      <c r="N78" s="78"/>
      <c r="O78" s="80"/>
      <c r="P78" s="80"/>
      <c r="Q78" s="80"/>
      <c r="R78" s="80"/>
      <c r="S78" s="80"/>
      <c r="T78" s="6"/>
      <c r="U78" s="6"/>
      <c r="AA78" s="185" t="s">
        <v>123</v>
      </c>
      <c r="AB78" s="25" t="s">
        <v>111</v>
      </c>
    </row>
    <row r="79" spans="1:28" s="4" customFormat="1">
      <c r="B79" s="104" t="s">
        <v>327</v>
      </c>
      <c r="C79" s="96" t="s">
        <v>182</v>
      </c>
      <c r="D79" s="21">
        <v>2</v>
      </c>
      <c r="E79" s="21">
        <v>90</v>
      </c>
      <c r="F79" s="62">
        <v>23</v>
      </c>
      <c r="G79" s="63" t="s">
        <v>296</v>
      </c>
      <c r="H79" s="21">
        <v>-8</v>
      </c>
      <c r="I79" s="21">
        <v>30</v>
      </c>
      <c r="J79" s="37">
        <v>2</v>
      </c>
      <c r="K79" s="21">
        <v>13</v>
      </c>
      <c r="L79" s="21">
        <v>6</v>
      </c>
      <c r="M79" s="66">
        <v>55</v>
      </c>
      <c r="N79" s="78"/>
      <c r="O79" s="80"/>
      <c r="P79" s="80"/>
      <c r="Q79" s="80"/>
      <c r="R79" s="80"/>
      <c r="S79" s="80"/>
      <c r="T79" s="6"/>
      <c r="U79" s="6"/>
      <c r="AA79" s="185" t="s">
        <v>188</v>
      </c>
      <c r="AB79" s="25" t="s">
        <v>114</v>
      </c>
    </row>
    <row r="80" spans="1:28" s="4" customFormat="1">
      <c r="A80" s="23"/>
      <c r="B80" s="104" t="s">
        <v>327</v>
      </c>
      <c r="C80" s="96" t="s">
        <v>66</v>
      </c>
      <c r="D80" s="21">
        <v>2</v>
      </c>
      <c r="E80" s="21">
        <v>150</v>
      </c>
      <c r="F80" s="62">
        <v>14</v>
      </c>
      <c r="G80" s="63" t="s">
        <v>296</v>
      </c>
      <c r="H80" s="21">
        <v>-9</v>
      </c>
      <c r="I80" s="21">
        <v>50</v>
      </c>
      <c r="J80" s="37">
        <v>1.8</v>
      </c>
      <c r="K80" s="21">
        <v>9</v>
      </c>
      <c r="L80" s="21">
        <v>14</v>
      </c>
      <c r="M80" s="66">
        <v>45</v>
      </c>
      <c r="N80" s="78"/>
      <c r="O80" s="80"/>
      <c r="P80" s="80"/>
      <c r="Q80" s="80"/>
      <c r="R80" s="80"/>
      <c r="S80" s="80"/>
      <c r="T80" s="6"/>
      <c r="U80" s="6"/>
      <c r="AA80" s="185" t="s">
        <v>184</v>
      </c>
      <c r="AB80" s="25" t="s">
        <v>213</v>
      </c>
    </row>
    <row r="81" spans="2:28" s="4" customFormat="1">
      <c r="B81" s="104" t="s">
        <v>327</v>
      </c>
      <c r="C81" s="96" t="s">
        <v>183</v>
      </c>
      <c r="D81" s="21">
        <v>2</v>
      </c>
      <c r="E81" s="21">
        <v>120</v>
      </c>
      <c r="F81" s="62">
        <v>20</v>
      </c>
      <c r="G81" s="63" t="s">
        <v>296</v>
      </c>
      <c r="H81" s="21">
        <v>-8</v>
      </c>
      <c r="I81" s="21">
        <v>35</v>
      </c>
      <c r="J81" s="37">
        <v>2.2000000000000002</v>
      </c>
      <c r="K81" s="21">
        <v>15</v>
      </c>
      <c r="L81" s="21">
        <v>12</v>
      </c>
      <c r="M81" s="66">
        <v>60</v>
      </c>
      <c r="N81" s="78"/>
      <c r="O81" s="80"/>
      <c r="P81" s="80"/>
      <c r="Q81" s="80"/>
      <c r="R81" s="80"/>
      <c r="S81" s="80"/>
      <c r="T81" s="6"/>
      <c r="U81" s="6"/>
      <c r="AA81" s="185" t="s">
        <v>219</v>
      </c>
      <c r="AB81" s="25" t="s">
        <v>178</v>
      </c>
    </row>
    <row r="82" spans="2:28">
      <c r="B82" s="105" t="s">
        <v>327</v>
      </c>
      <c r="C82" s="107" t="s">
        <v>184</v>
      </c>
      <c r="D82" s="22">
        <v>2</v>
      </c>
      <c r="E82" s="22">
        <v>133</v>
      </c>
      <c r="F82" s="75">
        <v>24</v>
      </c>
      <c r="G82" s="74" t="s">
        <v>296</v>
      </c>
      <c r="H82" s="22">
        <v>-10</v>
      </c>
      <c r="I82" s="22">
        <v>40</v>
      </c>
      <c r="J82" s="38">
        <v>3</v>
      </c>
      <c r="K82" s="22">
        <v>17</v>
      </c>
      <c r="L82" s="22">
        <v>10</v>
      </c>
      <c r="M82" s="67">
        <v>90</v>
      </c>
      <c r="N82" s="95"/>
      <c r="O82" s="92"/>
      <c r="P82" s="92"/>
      <c r="Q82" s="92"/>
      <c r="R82" s="92"/>
      <c r="S82" s="92"/>
      <c r="T82" s="6"/>
      <c r="U82" s="6"/>
      <c r="AA82" s="137" t="s">
        <v>236</v>
      </c>
      <c r="AB82" s="25" t="s">
        <v>137</v>
      </c>
    </row>
    <row r="83" spans="2:28" ht="15" customHeight="1">
      <c r="B83" s="103" t="s">
        <v>328</v>
      </c>
      <c r="C83" s="106" t="s">
        <v>185</v>
      </c>
      <c r="D83" s="35">
        <v>2</v>
      </c>
      <c r="E83" s="35">
        <v>133</v>
      </c>
      <c r="F83" s="64" t="s">
        <v>296</v>
      </c>
      <c r="G83" s="64" t="s">
        <v>296</v>
      </c>
      <c r="H83" s="35">
        <v>-10</v>
      </c>
      <c r="I83" s="35">
        <v>30</v>
      </c>
      <c r="J83" s="36">
        <v>3</v>
      </c>
      <c r="K83" s="35">
        <v>10</v>
      </c>
      <c r="L83" s="35">
        <v>9</v>
      </c>
      <c r="M83" s="65">
        <v>120</v>
      </c>
      <c r="N83" s="78"/>
      <c r="O83" s="80"/>
      <c r="P83" s="80"/>
      <c r="Q83" s="80"/>
      <c r="R83" s="80"/>
      <c r="S83" s="80"/>
      <c r="T83" s="6"/>
      <c r="U83" s="6"/>
      <c r="AA83" s="185" t="s">
        <v>136</v>
      </c>
      <c r="AB83" s="25" t="s">
        <v>131</v>
      </c>
    </row>
    <row r="84" spans="2:28">
      <c r="B84" s="104" t="s">
        <v>328</v>
      </c>
      <c r="C84" s="96" t="s">
        <v>186</v>
      </c>
      <c r="D84" s="21">
        <v>2</v>
      </c>
      <c r="E84" s="21">
        <v>100</v>
      </c>
      <c r="F84" s="62">
        <v>25</v>
      </c>
      <c r="G84" s="63" t="s">
        <v>296</v>
      </c>
      <c r="H84" s="21">
        <v>-6</v>
      </c>
      <c r="I84" s="21">
        <v>40</v>
      </c>
      <c r="J84" s="37">
        <v>3.5</v>
      </c>
      <c r="K84" s="21">
        <v>12</v>
      </c>
      <c r="L84" s="21">
        <v>10</v>
      </c>
      <c r="M84" s="66">
        <v>160</v>
      </c>
      <c r="N84" s="78"/>
      <c r="O84" s="80"/>
      <c r="P84" s="80"/>
      <c r="Q84" s="186"/>
      <c r="R84" s="80"/>
      <c r="S84" s="80"/>
      <c r="T84" s="6"/>
      <c r="U84" s="6"/>
      <c r="AA84" s="185" t="s">
        <v>171</v>
      </c>
      <c r="AB84" s="25" t="s">
        <v>225</v>
      </c>
    </row>
    <row r="85" spans="2:28">
      <c r="B85" s="104" t="s">
        <v>328</v>
      </c>
      <c r="C85" s="96" t="s">
        <v>187</v>
      </c>
      <c r="D85" s="21">
        <v>2</v>
      </c>
      <c r="E85" s="21">
        <v>120</v>
      </c>
      <c r="F85" s="62">
        <v>30</v>
      </c>
      <c r="G85" s="63" t="s">
        <v>296</v>
      </c>
      <c r="H85" s="21">
        <v>-13</v>
      </c>
      <c r="I85" s="21">
        <v>50</v>
      </c>
      <c r="J85" s="37">
        <v>3.2</v>
      </c>
      <c r="K85" s="21">
        <v>16</v>
      </c>
      <c r="L85" s="21">
        <v>7</v>
      </c>
      <c r="M85" s="66">
        <v>100</v>
      </c>
      <c r="N85" s="78"/>
      <c r="O85" s="80"/>
      <c r="P85" s="80"/>
      <c r="Q85" s="186"/>
      <c r="R85" s="80"/>
      <c r="S85" s="80"/>
      <c r="T85" s="6"/>
      <c r="U85" s="6"/>
      <c r="AA85" s="185" t="s">
        <v>99</v>
      </c>
      <c r="AB85" s="25" t="s">
        <v>134</v>
      </c>
    </row>
    <row r="86" spans="2:28">
      <c r="B86" s="105" t="s">
        <v>328</v>
      </c>
      <c r="C86" s="107" t="s">
        <v>188</v>
      </c>
      <c r="D86" s="22">
        <v>2</v>
      </c>
      <c r="E86" s="22">
        <v>150</v>
      </c>
      <c r="F86" s="75">
        <v>35</v>
      </c>
      <c r="G86" s="74" t="s">
        <v>296</v>
      </c>
      <c r="H86" s="22">
        <v>-15</v>
      </c>
      <c r="I86" s="22">
        <v>60</v>
      </c>
      <c r="J86" s="38">
        <v>4</v>
      </c>
      <c r="K86" s="22">
        <v>19</v>
      </c>
      <c r="L86" s="22">
        <v>7</v>
      </c>
      <c r="M86" s="67">
        <v>150</v>
      </c>
      <c r="N86" s="78"/>
      <c r="O86" s="80"/>
      <c r="P86" s="80"/>
      <c r="R86" s="80"/>
      <c r="S86" s="80"/>
      <c r="T86" s="6"/>
      <c r="U86" s="6"/>
      <c r="AA86" s="185" t="s">
        <v>111</v>
      </c>
      <c r="AB86" s="26" t="s">
        <v>414</v>
      </c>
    </row>
    <row r="87" spans="2:28" s="4" customFormat="1" ht="15" customHeight="1">
      <c r="B87" s="103" t="s">
        <v>329</v>
      </c>
      <c r="C87" s="106" t="s">
        <v>189</v>
      </c>
      <c r="D87" s="35">
        <v>1</v>
      </c>
      <c r="E87" s="35">
        <v>100</v>
      </c>
      <c r="F87" s="280">
        <v>0</v>
      </c>
      <c r="G87" s="35">
        <v>1</v>
      </c>
      <c r="H87" s="35">
        <v>-6</v>
      </c>
      <c r="I87" s="35">
        <v>10</v>
      </c>
      <c r="J87" s="36">
        <v>0.2</v>
      </c>
      <c r="K87" s="35"/>
      <c r="L87" s="35">
        <v>10</v>
      </c>
      <c r="M87" s="65">
        <v>4</v>
      </c>
      <c r="N87" s="78"/>
      <c r="O87" s="80"/>
      <c r="P87" s="80"/>
      <c r="R87" s="80"/>
      <c r="S87" s="80"/>
      <c r="T87" s="6"/>
      <c r="U87" s="6"/>
      <c r="AA87" s="185" t="s">
        <v>81</v>
      </c>
      <c r="AB87" s="26" t="s">
        <v>409</v>
      </c>
    </row>
    <row r="88" spans="2:28" s="4" customFormat="1">
      <c r="B88" s="104" t="s">
        <v>329</v>
      </c>
      <c r="C88" s="96" t="s">
        <v>190</v>
      </c>
      <c r="D88" s="21">
        <v>2</v>
      </c>
      <c r="E88" s="21">
        <v>133</v>
      </c>
      <c r="F88" s="62">
        <v>6</v>
      </c>
      <c r="G88" s="21" t="s">
        <v>143</v>
      </c>
      <c r="H88" s="21">
        <v>-9</v>
      </c>
      <c r="I88" s="21">
        <v>20</v>
      </c>
      <c r="J88" s="37">
        <v>0.8</v>
      </c>
      <c r="K88" s="21">
        <v>8</v>
      </c>
      <c r="L88" s="21">
        <v>10</v>
      </c>
      <c r="M88" s="66">
        <v>16</v>
      </c>
      <c r="N88" s="78"/>
      <c r="O88" s="80"/>
      <c r="P88" s="80"/>
      <c r="R88" s="80"/>
      <c r="S88" s="80"/>
      <c r="T88" s="6"/>
      <c r="U88" s="6"/>
      <c r="AA88" s="185" t="s">
        <v>114</v>
      </c>
      <c r="AB88" s="26" t="s">
        <v>411</v>
      </c>
    </row>
    <row r="89" spans="2:28" s="4" customFormat="1">
      <c r="B89" s="104" t="s">
        <v>329</v>
      </c>
      <c r="C89" s="96" t="s">
        <v>191</v>
      </c>
      <c r="D89" s="21">
        <v>2</v>
      </c>
      <c r="E89" s="21">
        <v>100</v>
      </c>
      <c r="F89" s="63" t="s">
        <v>296</v>
      </c>
      <c r="G89" s="21" t="s">
        <v>76</v>
      </c>
      <c r="H89" s="21">
        <v>-8</v>
      </c>
      <c r="I89" s="21">
        <v>10</v>
      </c>
      <c r="J89" s="37">
        <v>0.4</v>
      </c>
      <c r="K89" s="21">
        <v>7</v>
      </c>
      <c r="L89" s="21">
        <v>6</v>
      </c>
      <c r="M89" s="66">
        <v>2</v>
      </c>
      <c r="N89" s="78"/>
      <c r="O89" s="80"/>
      <c r="P89" s="80"/>
      <c r="R89" s="80"/>
      <c r="S89" s="80"/>
      <c r="T89" s="6"/>
      <c r="U89" s="6"/>
      <c r="AA89" s="185" t="s">
        <v>283</v>
      </c>
      <c r="AB89" s="26" t="s">
        <v>412</v>
      </c>
    </row>
    <row r="90" spans="2:28">
      <c r="B90" s="105" t="s">
        <v>329</v>
      </c>
      <c r="C90" s="107" t="s">
        <v>192</v>
      </c>
      <c r="D90" s="22">
        <v>2</v>
      </c>
      <c r="E90" s="22">
        <v>90</v>
      </c>
      <c r="F90" s="74" t="s">
        <v>296</v>
      </c>
      <c r="G90" s="22" t="s">
        <v>155</v>
      </c>
      <c r="H90" s="22">
        <v>-11</v>
      </c>
      <c r="I90" s="22">
        <v>15</v>
      </c>
      <c r="J90" s="38">
        <v>0.6</v>
      </c>
      <c r="K90" s="22">
        <v>10</v>
      </c>
      <c r="L90" s="22">
        <v>4</v>
      </c>
      <c r="M90" s="67">
        <v>5</v>
      </c>
      <c r="N90" s="95"/>
      <c r="O90" s="92"/>
      <c r="P90" s="92"/>
      <c r="R90" s="92"/>
      <c r="S90" s="92"/>
      <c r="T90" s="6"/>
      <c r="U90" s="6"/>
      <c r="AA90" s="185" t="s">
        <v>75</v>
      </c>
      <c r="AB90" s="25" t="s">
        <v>208</v>
      </c>
    </row>
    <row r="91" spans="2:28" ht="15" customHeight="1">
      <c r="B91" s="103" t="s">
        <v>330</v>
      </c>
      <c r="C91" s="96" t="s">
        <v>200</v>
      </c>
      <c r="D91" s="35">
        <v>1</v>
      </c>
      <c r="E91" s="65" t="e">
        <f>MAX(Character!$I$25,0)-9</f>
        <v>#VALUE!</v>
      </c>
      <c r="F91" s="64" t="s">
        <v>296</v>
      </c>
      <c r="G91" s="68" t="s">
        <v>146</v>
      </c>
      <c r="H91" s="35">
        <v>-7</v>
      </c>
      <c r="I91" s="35">
        <v>17</v>
      </c>
      <c r="J91" s="36">
        <v>0.5</v>
      </c>
      <c r="K91" s="35">
        <v>6</v>
      </c>
      <c r="L91" s="35"/>
      <c r="M91" s="65"/>
      <c r="N91" s="78"/>
      <c r="O91" s="80"/>
      <c r="P91" s="80"/>
      <c r="R91" s="80"/>
      <c r="S91" s="80"/>
      <c r="AA91" s="185" t="s">
        <v>213</v>
      </c>
      <c r="AB91" s="25" t="s">
        <v>202</v>
      </c>
    </row>
    <row r="92" spans="2:28">
      <c r="B92" s="104" t="s">
        <v>330</v>
      </c>
      <c r="C92" s="96" t="s">
        <v>201</v>
      </c>
      <c r="D92" s="21">
        <v>2</v>
      </c>
      <c r="E92" s="66" t="e">
        <f>MAX(Character!$I$19,0)-12</f>
        <v>#VALUE!</v>
      </c>
      <c r="F92" s="63" t="s">
        <v>296</v>
      </c>
      <c r="G92" s="14" t="s">
        <v>109</v>
      </c>
      <c r="H92" s="21">
        <v>-11</v>
      </c>
      <c r="I92" s="21">
        <v>2</v>
      </c>
      <c r="J92" s="37">
        <v>10</v>
      </c>
      <c r="K92" s="21">
        <v>15</v>
      </c>
      <c r="L92" s="21"/>
      <c r="M92" s="66"/>
      <c r="N92" s="78"/>
      <c r="O92" s="80"/>
      <c r="P92" s="80"/>
      <c r="R92" s="80"/>
      <c r="S92" s="80"/>
      <c r="AA92" s="185" t="s">
        <v>282</v>
      </c>
      <c r="AB92" s="26" t="s">
        <v>410</v>
      </c>
    </row>
    <row r="93" spans="2:28">
      <c r="B93" s="104" t="s">
        <v>330</v>
      </c>
      <c r="C93" s="96" t="s">
        <v>202</v>
      </c>
      <c r="D93" s="21">
        <v>1</v>
      </c>
      <c r="E93" s="66" t="e">
        <f>MAX(Character!$I$19,0)-5</f>
        <v>#VALUE!</v>
      </c>
      <c r="F93" s="63" t="s">
        <v>296</v>
      </c>
      <c r="G93" s="14" t="s">
        <v>170</v>
      </c>
      <c r="H93" s="21">
        <v>-9</v>
      </c>
      <c r="I93" s="21">
        <v>15.5</v>
      </c>
      <c r="J93" s="37">
        <v>0.6</v>
      </c>
      <c r="K93" s="21">
        <v>11</v>
      </c>
      <c r="L93" s="21"/>
      <c r="M93" s="66">
        <v>2</v>
      </c>
      <c r="N93" s="78"/>
      <c r="O93" s="80"/>
      <c r="P93" s="80"/>
      <c r="R93" s="80"/>
      <c r="S93" s="80"/>
      <c r="AA93" s="185" t="s">
        <v>178</v>
      </c>
      <c r="AB93" s="25" t="s">
        <v>205</v>
      </c>
    </row>
    <row r="94" spans="2:28">
      <c r="B94" s="104" t="s">
        <v>330</v>
      </c>
      <c r="C94" s="96" t="s">
        <v>203</v>
      </c>
      <c r="D94" s="21">
        <v>1</v>
      </c>
      <c r="E94" s="66" t="e">
        <f>MAX(Character!$I$20,0)-3</f>
        <v>#VALUE!</v>
      </c>
      <c r="F94" s="63" t="s">
        <v>296</v>
      </c>
      <c r="G94" s="14" t="s">
        <v>76</v>
      </c>
      <c r="H94" s="21">
        <v>-6</v>
      </c>
      <c r="I94" s="21">
        <v>23.5</v>
      </c>
      <c r="J94" s="37">
        <v>0.3</v>
      </c>
      <c r="K94" s="21">
        <v>5</v>
      </c>
      <c r="L94" s="21">
        <v>11</v>
      </c>
      <c r="M94" s="66">
        <v>3</v>
      </c>
      <c r="N94" s="78"/>
      <c r="O94" s="80"/>
      <c r="P94" s="80"/>
      <c r="R94" s="80"/>
      <c r="S94" s="80"/>
      <c r="AA94" s="185" t="s">
        <v>137</v>
      </c>
      <c r="AB94" s="25" t="s">
        <v>211</v>
      </c>
    </row>
    <row r="95" spans="2:28" s="4" customFormat="1">
      <c r="B95" s="104" t="s">
        <v>330</v>
      </c>
      <c r="C95" s="59" t="s">
        <v>410</v>
      </c>
      <c r="D95" s="21">
        <v>1</v>
      </c>
      <c r="E95" s="66" t="e">
        <f>MAX(Character!$I$25,0)-6</f>
        <v>#VALUE!</v>
      </c>
      <c r="F95" s="63" t="s">
        <v>296</v>
      </c>
      <c r="G95" s="14" t="s">
        <v>124</v>
      </c>
      <c r="H95" s="21">
        <v>-11</v>
      </c>
      <c r="I95" s="21">
        <v>7</v>
      </c>
      <c r="J95" s="37">
        <v>2.5</v>
      </c>
      <c r="K95" s="21">
        <v>15</v>
      </c>
      <c r="L95" s="21"/>
      <c r="M95" s="66">
        <v>1</v>
      </c>
      <c r="N95" s="78"/>
      <c r="O95" s="80"/>
      <c r="P95" s="80"/>
      <c r="R95" s="80"/>
      <c r="S95" s="80"/>
      <c r="AA95" s="185" t="s">
        <v>284</v>
      </c>
      <c r="AB95" s="26" t="s">
        <v>413</v>
      </c>
    </row>
    <row r="96" spans="2:28">
      <c r="B96" s="105" t="s">
        <v>330</v>
      </c>
      <c r="C96" s="107" t="s">
        <v>204</v>
      </c>
      <c r="D96" s="22">
        <v>1</v>
      </c>
      <c r="E96" s="67" t="e">
        <f>MAX(Character!$I$20,0)-10</f>
        <v>#VALUE!</v>
      </c>
      <c r="F96" s="74" t="s">
        <v>296</v>
      </c>
      <c r="G96" s="15" t="s">
        <v>143</v>
      </c>
      <c r="H96" s="22">
        <v>-7</v>
      </c>
      <c r="I96" s="22">
        <v>12</v>
      </c>
      <c r="J96" s="38">
        <v>0.3</v>
      </c>
      <c r="K96" s="22">
        <v>4</v>
      </c>
      <c r="L96" s="22">
        <v>4</v>
      </c>
      <c r="M96" s="67">
        <v>1</v>
      </c>
      <c r="N96" s="78"/>
      <c r="O96" s="80"/>
      <c r="P96" s="80"/>
      <c r="R96" s="80"/>
      <c r="S96" s="80"/>
      <c r="U96" s="171"/>
      <c r="AA96" s="185" t="s">
        <v>131</v>
      </c>
      <c r="AB96" s="25" t="s">
        <v>183</v>
      </c>
    </row>
    <row r="97" spans="2:28" ht="15" customHeight="1">
      <c r="B97" s="103" t="s">
        <v>331</v>
      </c>
      <c r="C97" s="96" t="s">
        <v>205</v>
      </c>
      <c r="D97" s="35">
        <v>1</v>
      </c>
      <c r="E97" s="35" t="e">
        <f>MAX(Character!$I$20,0)+2</f>
        <v>#VALUE!</v>
      </c>
      <c r="F97" s="280">
        <v>3</v>
      </c>
      <c r="G97" s="35" t="s">
        <v>206</v>
      </c>
      <c r="H97" s="35">
        <v>-6</v>
      </c>
      <c r="I97" s="35">
        <v>20.5</v>
      </c>
      <c r="J97" s="36">
        <v>0.4</v>
      </c>
      <c r="K97" s="35">
        <v>5</v>
      </c>
      <c r="L97" s="35">
        <v>7</v>
      </c>
      <c r="M97" s="65">
        <v>5</v>
      </c>
      <c r="N97" s="78"/>
      <c r="O97" s="80"/>
      <c r="P97" s="80"/>
      <c r="R97" s="80"/>
      <c r="S97" s="80"/>
      <c r="U97" s="171"/>
      <c r="AA97" s="185" t="s">
        <v>225</v>
      </c>
      <c r="AB97" s="25" t="s">
        <v>221</v>
      </c>
    </row>
    <row r="98" spans="2:28">
      <c r="B98" s="104" t="s">
        <v>331</v>
      </c>
      <c r="C98" s="96" t="s">
        <v>207</v>
      </c>
      <c r="D98" s="21">
        <v>1</v>
      </c>
      <c r="E98" s="21" t="e">
        <f>MAX(Character!$I$20,0)+4</f>
        <v>#VALUE!</v>
      </c>
      <c r="F98" s="62">
        <v>0</v>
      </c>
      <c r="G98" s="21">
        <v>1</v>
      </c>
      <c r="H98" s="21">
        <v>-6</v>
      </c>
      <c r="I98" s="21">
        <v>18.5</v>
      </c>
      <c r="J98" s="37">
        <v>0.1</v>
      </c>
      <c r="K98" s="21"/>
      <c r="L98" s="21">
        <v>8</v>
      </c>
      <c r="M98" s="66">
        <v>4</v>
      </c>
      <c r="N98" s="78"/>
      <c r="O98" s="80"/>
      <c r="P98" s="80"/>
      <c r="R98" s="80"/>
      <c r="S98" s="80"/>
      <c r="U98" s="171"/>
      <c r="AA98" s="185" t="s">
        <v>134</v>
      </c>
    </row>
    <row r="99" spans="2:28">
      <c r="B99" s="104" t="s">
        <v>331</v>
      </c>
      <c r="C99" s="96" t="s">
        <v>208</v>
      </c>
      <c r="D99" s="21">
        <v>1</v>
      </c>
      <c r="E99" s="21" t="e">
        <f>MAX(Character!$I$20,0)-6</f>
        <v>#VALUE!</v>
      </c>
      <c r="F99" s="62">
        <v>7</v>
      </c>
      <c r="G99" s="21" t="s">
        <v>74</v>
      </c>
      <c r="H99" s="21">
        <v>-7</v>
      </c>
      <c r="I99" s="21">
        <v>19.5</v>
      </c>
      <c r="J99" s="37">
        <v>0.5</v>
      </c>
      <c r="K99" s="21">
        <v>8</v>
      </c>
      <c r="L99" s="21">
        <v>9</v>
      </c>
      <c r="M99" s="66">
        <v>9</v>
      </c>
      <c r="N99" s="78"/>
      <c r="O99" s="80"/>
      <c r="P99" s="80"/>
      <c r="R99" s="80"/>
      <c r="S99" s="80"/>
      <c r="U99" s="171"/>
      <c r="AA99" s="137" t="s">
        <v>414</v>
      </c>
    </row>
    <row r="100" spans="2:28">
      <c r="B100" s="104" t="s">
        <v>331</v>
      </c>
      <c r="C100" s="96" t="s">
        <v>209</v>
      </c>
      <c r="D100" s="21">
        <v>1</v>
      </c>
      <c r="E100" s="21" t="e">
        <f>MAX(Character!$I$20,0)-8</f>
        <v>#VALUE!</v>
      </c>
      <c r="F100" s="62">
        <v>4</v>
      </c>
      <c r="G100" s="21" t="s">
        <v>210</v>
      </c>
      <c r="H100" s="21">
        <v>-8</v>
      </c>
      <c r="I100" s="21">
        <v>18</v>
      </c>
      <c r="J100" s="37">
        <v>0.9</v>
      </c>
      <c r="K100" s="21">
        <v>9</v>
      </c>
      <c r="L100" s="21">
        <v>10</v>
      </c>
      <c r="M100" s="66">
        <v>3</v>
      </c>
      <c r="N100" s="78"/>
      <c r="O100" s="80"/>
      <c r="P100" s="80"/>
      <c r="R100" s="80"/>
      <c r="S100" s="80"/>
      <c r="U100" s="171"/>
      <c r="AA100" s="137" t="s">
        <v>409</v>
      </c>
    </row>
    <row r="101" spans="2:28">
      <c r="B101" s="104" t="s">
        <v>331</v>
      </c>
      <c r="C101" s="96" t="s">
        <v>211</v>
      </c>
      <c r="D101" s="21">
        <v>1</v>
      </c>
      <c r="E101" s="21" t="e">
        <f>MAX(Character!$I$25,0)-8</f>
        <v>#VALUE!</v>
      </c>
      <c r="F101" s="62">
        <v>12</v>
      </c>
      <c r="G101" s="21" t="s">
        <v>98</v>
      </c>
      <c r="H101" s="21">
        <v>-9</v>
      </c>
      <c r="I101" s="21">
        <v>14.5</v>
      </c>
      <c r="J101" s="37">
        <v>1</v>
      </c>
      <c r="K101" s="21">
        <v>11</v>
      </c>
      <c r="L101" s="21">
        <v>4</v>
      </c>
      <c r="M101" s="66">
        <v>6</v>
      </c>
      <c r="N101" s="78"/>
      <c r="O101" s="80"/>
      <c r="P101" s="80"/>
      <c r="R101" s="80"/>
      <c r="S101" s="80"/>
      <c r="U101" s="171"/>
      <c r="AA101" s="137" t="s">
        <v>411</v>
      </c>
    </row>
    <row r="102" spans="2:28">
      <c r="B102" s="105" t="s">
        <v>331</v>
      </c>
      <c r="C102" s="107" t="s">
        <v>212</v>
      </c>
      <c r="D102" s="22">
        <v>1</v>
      </c>
      <c r="E102" s="22" t="e">
        <f>MAX(Character!$I$20,0)-4</f>
        <v>#VALUE!</v>
      </c>
      <c r="F102" s="22">
        <v>0</v>
      </c>
      <c r="G102" s="22" t="s">
        <v>79</v>
      </c>
      <c r="H102" s="22">
        <v>-6</v>
      </c>
      <c r="I102" s="22">
        <v>15.5</v>
      </c>
      <c r="J102" s="38">
        <v>0.2</v>
      </c>
      <c r="K102" s="22">
        <v>4</v>
      </c>
      <c r="L102" s="22">
        <v>6</v>
      </c>
      <c r="M102" s="67">
        <v>3</v>
      </c>
      <c r="N102" s="78"/>
      <c r="O102" s="80"/>
      <c r="P102" s="80"/>
      <c r="R102" s="80"/>
      <c r="S102" s="80"/>
      <c r="U102" s="171"/>
      <c r="AA102" s="137" t="s">
        <v>412</v>
      </c>
    </row>
    <row r="103" spans="2:28" ht="15" customHeight="1">
      <c r="B103" s="103" t="s">
        <v>332</v>
      </c>
      <c r="C103" s="59" t="s">
        <v>413</v>
      </c>
      <c r="D103" s="35">
        <v>1</v>
      </c>
      <c r="E103" s="35" t="e">
        <f>MAX(Character!$I$19,0)-7</f>
        <v>#VALUE!</v>
      </c>
      <c r="F103" s="280">
        <v>21</v>
      </c>
      <c r="G103" s="35" t="s">
        <v>96</v>
      </c>
      <c r="H103" s="35">
        <v>-11</v>
      </c>
      <c r="I103" s="35">
        <v>12</v>
      </c>
      <c r="J103" s="36">
        <v>3.2</v>
      </c>
      <c r="K103" s="35">
        <v>16</v>
      </c>
      <c r="L103" s="35">
        <v>9</v>
      </c>
      <c r="M103" s="65">
        <v>30</v>
      </c>
      <c r="N103" s="78"/>
      <c r="O103" s="80"/>
      <c r="P103" s="80"/>
      <c r="R103" s="80"/>
      <c r="S103" s="80"/>
      <c r="U103" s="171"/>
      <c r="AA103" s="185" t="s">
        <v>208</v>
      </c>
    </row>
    <row r="104" spans="2:28">
      <c r="B104" s="104" t="s">
        <v>332</v>
      </c>
      <c r="C104" s="59" t="s">
        <v>411</v>
      </c>
      <c r="D104" s="21">
        <v>1</v>
      </c>
      <c r="E104" s="21" t="e">
        <f>MAX(Character!$I$25,0)-5</f>
        <v>#VALUE!</v>
      </c>
      <c r="F104" s="62">
        <v>16</v>
      </c>
      <c r="G104" s="21" t="s">
        <v>161</v>
      </c>
      <c r="H104" s="21">
        <v>-10</v>
      </c>
      <c r="I104" s="21">
        <v>15</v>
      </c>
      <c r="J104" s="37">
        <v>2.2999999999999998</v>
      </c>
      <c r="K104" s="21">
        <v>9</v>
      </c>
      <c r="L104" s="21">
        <v>10</v>
      </c>
      <c r="M104" s="66">
        <v>21</v>
      </c>
      <c r="N104" s="78"/>
      <c r="O104" s="80"/>
      <c r="P104" s="80"/>
      <c r="R104" s="80"/>
      <c r="S104" s="80"/>
      <c r="U104" s="171"/>
      <c r="AA104" s="185" t="s">
        <v>202</v>
      </c>
    </row>
    <row r="105" spans="2:28">
      <c r="B105" s="104" t="s">
        <v>332</v>
      </c>
      <c r="C105" s="59" t="s">
        <v>414</v>
      </c>
      <c r="D105" s="21">
        <v>1</v>
      </c>
      <c r="E105" s="21" t="e">
        <f>MAX(Character!$I$25,0)-2</f>
        <v>#VALUE!</v>
      </c>
      <c r="F105" s="62">
        <v>8</v>
      </c>
      <c r="G105" s="21" t="s">
        <v>96</v>
      </c>
      <c r="H105" s="21">
        <v>-9</v>
      </c>
      <c r="I105" s="21">
        <v>22</v>
      </c>
      <c r="J105" s="37">
        <v>1.6</v>
      </c>
      <c r="K105" s="21">
        <v>12</v>
      </c>
      <c r="L105" s="21">
        <v>10</v>
      </c>
      <c r="M105" s="66">
        <v>4</v>
      </c>
      <c r="N105" s="78"/>
      <c r="O105" s="80"/>
      <c r="P105" s="80"/>
      <c r="R105" s="80"/>
      <c r="S105" s="80"/>
      <c r="U105" s="171"/>
      <c r="AA105" s="137" t="s">
        <v>410</v>
      </c>
    </row>
    <row r="106" spans="2:28">
      <c r="B106" s="104" t="s">
        <v>332</v>
      </c>
      <c r="C106" s="59" t="s">
        <v>409</v>
      </c>
      <c r="D106" s="21">
        <v>1</v>
      </c>
      <c r="E106" s="21" t="e">
        <f>MAX(Character!$I$20,0)</f>
        <v>#VALUE!</v>
      </c>
      <c r="F106" s="62">
        <v>2</v>
      </c>
      <c r="G106" s="21" t="s">
        <v>72</v>
      </c>
      <c r="H106" s="21">
        <v>-6</v>
      </c>
      <c r="I106" s="21">
        <v>16.5</v>
      </c>
      <c r="J106" s="37">
        <v>0.5</v>
      </c>
      <c r="K106" s="21"/>
      <c r="L106" s="21"/>
      <c r="M106" s="66">
        <v>6</v>
      </c>
      <c r="N106" s="78"/>
      <c r="O106" s="80"/>
      <c r="P106" s="80"/>
      <c r="R106" s="80"/>
      <c r="S106" s="80"/>
      <c r="U106" s="171"/>
      <c r="AA106" s="185" t="s">
        <v>205</v>
      </c>
    </row>
    <row r="107" spans="2:28">
      <c r="B107" s="104" t="s">
        <v>332</v>
      </c>
      <c r="C107" s="96" t="s">
        <v>213</v>
      </c>
      <c r="D107" s="21">
        <v>1</v>
      </c>
      <c r="E107" s="21" t="e">
        <f>MAX(Character!$I$20,0)-5</f>
        <v>#VALUE!</v>
      </c>
      <c r="F107" s="62">
        <v>8</v>
      </c>
      <c r="G107" s="21" t="s">
        <v>83</v>
      </c>
      <c r="H107" s="21">
        <v>-8</v>
      </c>
      <c r="I107" s="21">
        <v>18.5</v>
      </c>
      <c r="J107" s="37">
        <v>0.7</v>
      </c>
      <c r="K107" s="21">
        <v>9</v>
      </c>
      <c r="L107" s="21">
        <v>7</v>
      </c>
      <c r="M107" s="66">
        <v>7</v>
      </c>
      <c r="N107" s="78"/>
      <c r="O107" s="80"/>
      <c r="P107" s="80"/>
      <c r="R107" s="80"/>
      <c r="S107" s="80"/>
      <c r="U107" s="171"/>
      <c r="AA107" s="185" t="s">
        <v>211</v>
      </c>
    </row>
    <row r="108" spans="2:28">
      <c r="B108" s="105" t="s">
        <v>332</v>
      </c>
      <c r="C108" s="133" t="s">
        <v>412</v>
      </c>
      <c r="D108" s="22">
        <v>1</v>
      </c>
      <c r="E108" s="22" t="e">
        <f>MAX(Character!$I$20,0)-10</f>
        <v>#VALUE!</v>
      </c>
      <c r="F108" s="75">
        <v>6</v>
      </c>
      <c r="G108" s="22" t="s">
        <v>98</v>
      </c>
      <c r="H108" s="22">
        <v>-8</v>
      </c>
      <c r="I108" s="22">
        <v>13.5</v>
      </c>
      <c r="J108" s="38">
        <v>1</v>
      </c>
      <c r="K108" s="22">
        <v>10</v>
      </c>
      <c r="L108" s="22">
        <v>6</v>
      </c>
      <c r="M108" s="67">
        <v>20</v>
      </c>
      <c r="N108" s="78"/>
      <c r="O108" s="80"/>
      <c r="P108" s="80"/>
      <c r="R108" s="80"/>
      <c r="S108" s="80"/>
      <c r="U108" s="171"/>
      <c r="AA108" s="137" t="s">
        <v>413</v>
      </c>
    </row>
    <row r="109" spans="2:28">
      <c r="B109" s="97" t="s">
        <v>48</v>
      </c>
      <c r="C109" s="115" t="s">
        <v>339</v>
      </c>
      <c r="D109" s="97" t="s">
        <v>53</v>
      </c>
      <c r="E109" s="97" t="s">
        <v>214</v>
      </c>
      <c r="F109" s="98" t="s">
        <v>54</v>
      </c>
      <c r="G109" s="97" t="s">
        <v>68</v>
      </c>
      <c r="H109" s="97" t="s">
        <v>25</v>
      </c>
      <c r="I109" s="97" t="s">
        <v>94</v>
      </c>
      <c r="J109" s="97" t="s">
        <v>14</v>
      </c>
      <c r="K109" s="97" t="s">
        <v>1</v>
      </c>
      <c r="L109" s="97" t="s">
        <v>2</v>
      </c>
      <c r="M109" s="99" t="s">
        <v>15</v>
      </c>
      <c r="N109" s="78"/>
      <c r="O109" s="80"/>
      <c r="P109" s="80"/>
      <c r="R109" s="80"/>
      <c r="S109" s="80"/>
      <c r="U109" s="172"/>
      <c r="AA109" s="185" t="s">
        <v>183</v>
      </c>
    </row>
    <row r="110" spans="2:28">
      <c r="B110" s="103" t="s">
        <v>299</v>
      </c>
      <c r="C110" s="106" t="s">
        <v>281</v>
      </c>
      <c r="D110" s="55">
        <v>1</v>
      </c>
      <c r="E110" s="65" t="e">
        <f>MAX(Character!$I$20,0)+12</f>
        <v>#VALUE!</v>
      </c>
      <c r="F110" s="64" t="s">
        <v>296</v>
      </c>
      <c r="G110" s="68" t="s">
        <v>76</v>
      </c>
      <c r="H110" s="35">
        <v>-1</v>
      </c>
      <c r="I110" s="35">
        <v>1</v>
      </c>
      <c r="J110" s="35">
        <v>0.2</v>
      </c>
      <c r="K110" s="35">
        <v>6</v>
      </c>
      <c r="L110" s="35"/>
      <c r="M110" s="65">
        <v>5</v>
      </c>
      <c r="N110" s="78"/>
      <c r="O110" s="80"/>
      <c r="P110" s="80"/>
      <c r="R110" s="80"/>
      <c r="S110" s="80"/>
      <c r="U110" s="171"/>
      <c r="AA110" s="185" t="s">
        <v>221</v>
      </c>
    </row>
    <row r="111" spans="2:28">
      <c r="B111" s="104" t="s">
        <v>299</v>
      </c>
      <c r="C111" s="96" t="s">
        <v>282</v>
      </c>
      <c r="D111" s="56">
        <v>1</v>
      </c>
      <c r="E111" s="66" t="e">
        <f>MAX(Character!$I$20,0)+10</f>
        <v>#VALUE!</v>
      </c>
      <c r="F111" s="63" t="s">
        <v>296</v>
      </c>
      <c r="G111" s="14" t="s">
        <v>98</v>
      </c>
      <c r="H111" s="21">
        <v>-2</v>
      </c>
      <c r="I111" s="21">
        <v>1</v>
      </c>
      <c r="J111" s="21">
        <v>0.4</v>
      </c>
      <c r="K111" s="21">
        <v>12</v>
      </c>
      <c r="L111" s="21"/>
      <c r="M111" s="66">
        <v>12</v>
      </c>
      <c r="N111" s="78"/>
      <c r="O111" s="80"/>
      <c r="P111" s="80"/>
      <c r="R111" s="80"/>
      <c r="S111" s="80"/>
      <c r="U111" s="171"/>
    </row>
    <row r="112" spans="2:28">
      <c r="B112" s="104" t="s">
        <v>299</v>
      </c>
      <c r="C112" s="96" t="s">
        <v>283</v>
      </c>
      <c r="D112" s="56">
        <v>1</v>
      </c>
      <c r="E112" s="66" t="e">
        <f>MAX(Character!$I$20,0)+8</f>
        <v>#VALUE!</v>
      </c>
      <c r="F112" s="63" t="s">
        <v>296</v>
      </c>
      <c r="G112" s="14" t="s">
        <v>112</v>
      </c>
      <c r="H112" s="21">
        <v>-3</v>
      </c>
      <c r="I112" s="21">
        <v>1</v>
      </c>
      <c r="J112" s="21">
        <v>0.6</v>
      </c>
      <c r="K112" s="21">
        <v>18</v>
      </c>
      <c r="L112" s="21"/>
      <c r="M112" s="66">
        <v>14</v>
      </c>
      <c r="N112" s="78"/>
      <c r="O112" s="80"/>
      <c r="P112" s="80"/>
      <c r="R112" s="80"/>
      <c r="S112" s="80"/>
      <c r="U112" s="171"/>
    </row>
    <row r="113" spans="2:21">
      <c r="B113" s="105" t="s">
        <v>299</v>
      </c>
      <c r="C113" s="107" t="s">
        <v>284</v>
      </c>
      <c r="D113" s="57">
        <v>1</v>
      </c>
      <c r="E113" s="67" t="e">
        <f>MAX(Character!$I$20,0)+12</f>
        <v>#VALUE!</v>
      </c>
      <c r="F113" s="22">
        <v>0</v>
      </c>
      <c r="G113" s="15" t="s">
        <v>79</v>
      </c>
      <c r="H113" s="22">
        <v>-1</v>
      </c>
      <c r="I113" s="22">
        <v>1</v>
      </c>
      <c r="J113" s="22">
        <v>0.2</v>
      </c>
      <c r="K113" s="22"/>
      <c r="L113" s="22">
        <v>5</v>
      </c>
      <c r="M113" s="22">
        <v>18</v>
      </c>
      <c r="N113" s="78"/>
      <c r="O113" s="80"/>
      <c r="P113" s="80"/>
      <c r="R113" s="80"/>
      <c r="S113" s="80"/>
      <c r="U113" s="171"/>
    </row>
    <row r="114" spans="2:21">
      <c r="U114" s="171"/>
    </row>
    <row r="115" spans="2:21">
      <c r="U115" s="171"/>
    </row>
    <row r="116" spans="2:21">
      <c r="U116" s="171"/>
    </row>
    <row r="125" spans="2:21">
      <c r="D125" s="4"/>
    </row>
  </sheetData>
  <sortState ref="AC3:AC98">
    <sortCondition ref="AC2"/>
  </sortState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theme="1"/>
  </sheetPr>
  <dimension ref="B1:Q14"/>
  <sheetViews>
    <sheetView workbookViewId="0"/>
  </sheetViews>
  <sheetFormatPr defaultRowHeight="15"/>
  <cols>
    <col min="2" max="2" width="20.85546875" customWidth="1"/>
    <col min="3" max="17" width="10.7109375" customWidth="1"/>
  </cols>
  <sheetData>
    <row r="1" spans="2:17">
      <c r="N1" s="4" t="s">
        <v>860</v>
      </c>
      <c r="O1" s="4"/>
      <c r="P1" s="4"/>
      <c r="Q1" s="4"/>
    </row>
    <row r="2" spans="2:17">
      <c r="B2" s="97" t="s">
        <v>63</v>
      </c>
      <c r="C2" s="97" t="s">
        <v>249</v>
      </c>
      <c r="D2" s="97" t="s">
        <v>60</v>
      </c>
      <c r="E2" s="97" t="s">
        <v>255</v>
      </c>
      <c r="F2" s="97" t="s">
        <v>1</v>
      </c>
      <c r="G2" s="97" t="s">
        <v>25</v>
      </c>
      <c r="H2" s="97" t="s">
        <v>250</v>
      </c>
      <c r="I2" s="97" t="s">
        <v>251</v>
      </c>
      <c r="J2" s="97" t="s">
        <v>252</v>
      </c>
      <c r="K2" s="97" t="s">
        <v>253</v>
      </c>
      <c r="L2" s="110" t="s">
        <v>254</v>
      </c>
      <c r="M2" s="111" t="s">
        <v>14</v>
      </c>
      <c r="N2" s="97" t="s">
        <v>861</v>
      </c>
      <c r="O2" s="111" t="s">
        <v>862</v>
      </c>
      <c r="P2" s="111" t="s">
        <v>863</v>
      </c>
      <c r="Q2" s="97" t="s">
        <v>864</v>
      </c>
    </row>
    <row r="3" spans="2:17">
      <c r="B3" s="19" t="s">
        <v>239</v>
      </c>
      <c r="C3" s="21">
        <v>0</v>
      </c>
      <c r="D3" s="21">
        <v>0</v>
      </c>
      <c r="E3" s="29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9">
        <v>0</v>
      </c>
      <c r="M3" s="27">
        <v>0</v>
      </c>
      <c r="N3" s="11">
        <v>0</v>
      </c>
      <c r="O3" s="11">
        <v>0</v>
      </c>
      <c r="P3" s="11">
        <v>0</v>
      </c>
      <c r="Q3" s="11">
        <v>0</v>
      </c>
    </row>
    <row r="4" spans="2:17">
      <c r="B4" s="19" t="s">
        <v>37</v>
      </c>
      <c r="C4" s="21">
        <v>0</v>
      </c>
      <c r="D4" s="21">
        <v>1</v>
      </c>
      <c r="E4" s="29">
        <v>1</v>
      </c>
      <c r="F4" s="21">
        <v>1</v>
      </c>
      <c r="G4" s="21">
        <v>0</v>
      </c>
      <c r="H4" s="21">
        <v>0</v>
      </c>
      <c r="I4" s="21">
        <v>1</v>
      </c>
      <c r="J4" s="21">
        <v>1</v>
      </c>
      <c r="K4" s="21">
        <v>2</v>
      </c>
      <c r="L4" s="29">
        <v>2</v>
      </c>
      <c r="M4" s="27">
        <v>2</v>
      </c>
      <c r="N4" s="423">
        <f>M4/16</f>
        <v>0.125</v>
      </c>
      <c r="O4" s="423">
        <f>M4*5/16</f>
        <v>0.625</v>
      </c>
      <c r="P4" s="423">
        <f>M4/8</f>
        <v>0.25</v>
      </c>
      <c r="Q4" s="423">
        <f>M4*3/16</f>
        <v>0.375</v>
      </c>
    </row>
    <row r="5" spans="2:17">
      <c r="B5" s="19" t="s">
        <v>240</v>
      </c>
      <c r="C5" s="21">
        <v>1</v>
      </c>
      <c r="D5" s="21">
        <v>4</v>
      </c>
      <c r="E5" s="29">
        <v>6</v>
      </c>
      <c r="F5" s="21">
        <v>5</v>
      </c>
      <c r="G5" s="21">
        <v>-2</v>
      </c>
      <c r="H5" s="21">
        <v>-1</v>
      </c>
      <c r="I5" s="21">
        <v>4</v>
      </c>
      <c r="J5" s="21">
        <v>3</v>
      </c>
      <c r="K5" s="21">
        <v>5</v>
      </c>
      <c r="L5" s="29">
        <v>5</v>
      </c>
      <c r="M5" s="27">
        <v>4</v>
      </c>
      <c r="N5" s="423">
        <f t="shared" ref="N5:N13" si="0">M5/16</f>
        <v>0.25</v>
      </c>
      <c r="O5" s="423">
        <f t="shared" ref="O5:O13" si="1">M5*5/16</f>
        <v>1.25</v>
      </c>
      <c r="P5" s="423">
        <f t="shared" ref="P5:P13" si="2">M5/8</f>
        <v>0.5</v>
      </c>
      <c r="Q5" s="423">
        <f t="shared" ref="Q5:Q13" si="3">M5*3/16</f>
        <v>0.75</v>
      </c>
    </row>
    <row r="6" spans="2:17">
      <c r="B6" s="19" t="s">
        <v>241</v>
      </c>
      <c r="C6" s="21">
        <v>1</v>
      </c>
      <c r="D6" s="21">
        <v>6</v>
      </c>
      <c r="E6" s="29">
        <v>9</v>
      </c>
      <c r="F6" s="21">
        <v>8</v>
      </c>
      <c r="G6" s="21">
        <v>-3</v>
      </c>
      <c r="H6" s="21">
        <v>-1</v>
      </c>
      <c r="I6" s="21">
        <v>8</v>
      </c>
      <c r="J6" s="21">
        <v>10</v>
      </c>
      <c r="K6" s="21">
        <v>10</v>
      </c>
      <c r="L6" s="29">
        <v>8</v>
      </c>
      <c r="M6" s="27">
        <v>7</v>
      </c>
      <c r="N6" s="423">
        <f t="shared" si="0"/>
        <v>0.4375</v>
      </c>
      <c r="O6" s="423">
        <f t="shared" si="1"/>
        <v>2.1875</v>
      </c>
      <c r="P6" s="423">
        <f t="shared" si="2"/>
        <v>0.875</v>
      </c>
      <c r="Q6" s="423">
        <f t="shared" si="3"/>
        <v>1.3125</v>
      </c>
    </row>
    <row r="7" spans="2:17">
      <c r="B7" s="19" t="s">
        <v>242</v>
      </c>
      <c r="C7" s="21">
        <v>2</v>
      </c>
      <c r="D7" s="21">
        <v>10</v>
      </c>
      <c r="E7" s="29">
        <v>15</v>
      </c>
      <c r="F7" s="21">
        <v>10</v>
      </c>
      <c r="G7" s="21">
        <v>-4</v>
      </c>
      <c r="H7" s="21">
        <v>-2</v>
      </c>
      <c r="I7" s="21">
        <v>15</v>
      </c>
      <c r="J7" s="21">
        <v>20</v>
      </c>
      <c r="K7" s="21">
        <v>30</v>
      </c>
      <c r="L7" s="29">
        <v>33</v>
      </c>
      <c r="M7" s="27">
        <v>11</v>
      </c>
      <c r="N7" s="423">
        <f t="shared" si="0"/>
        <v>0.6875</v>
      </c>
      <c r="O7" s="423">
        <f t="shared" si="1"/>
        <v>3.4375</v>
      </c>
      <c r="P7" s="423">
        <f t="shared" si="2"/>
        <v>1.375</v>
      </c>
      <c r="Q7" s="423">
        <f t="shared" si="3"/>
        <v>2.0625</v>
      </c>
    </row>
    <row r="8" spans="2:17">
      <c r="B8" s="19" t="s">
        <v>243</v>
      </c>
      <c r="C8" s="21">
        <v>2</v>
      </c>
      <c r="D8" s="21">
        <v>14</v>
      </c>
      <c r="E8" s="29">
        <v>21</v>
      </c>
      <c r="F8" s="21">
        <v>13</v>
      </c>
      <c r="G8" s="21">
        <v>-5</v>
      </c>
      <c r="H8" s="21">
        <v>-2</v>
      </c>
      <c r="I8" s="21">
        <v>50</v>
      </c>
      <c r="J8" s="21">
        <v>50</v>
      </c>
      <c r="K8" s="21">
        <v>100</v>
      </c>
      <c r="L8" s="29">
        <v>90</v>
      </c>
      <c r="M8" s="27">
        <v>16</v>
      </c>
      <c r="N8" s="423">
        <f t="shared" si="0"/>
        <v>1</v>
      </c>
      <c r="O8" s="423">
        <f t="shared" si="1"/>
        <v>5</v>
      </c>
      <c r="P8" s="423">
        <f t="shared" si="2"/>
        <v>2</v>
      </c>
      <c r="Q8" s="423">
        <f t="shared" si="3"/>
        <v>3</v>
      </c>
    </row>
    <row r="9" spans="2:17">
      <c r="B9" s="19" t="s">
        <v>244</v>
      </c>
      <c r="C9" s="21">
        <v>3</v>
      </c>
      <c r="D9" s="21">
        <v>16</v>
      </c>
      <c r="E9" s="29">
        <v>24</v>
      </c>
      <c r="F9" s="21">
        <v>15</v>
      </c>
      <c r="G9" s="21">
        <v>-6</v>
      </c>
      <c r="H9" s="21">
        <v>-3</v>
      </c>
      <c r="I9" s="21">
        <v>65</v>
      </c>
      <c r="J9" s="21">
        <v>90</v>
      </c>
      <c r="K9" s="21">
        <v>150</v>
      </c>
      <c r="L9" s="29">
        <v>180</v>
      </c>
      <c r="M9" s="27">
        <v>21</v>
      </c>
      <c r="N9" s="423">
        <f t="shared" si="0"/>
        <v>1.3125</v>
      </c>
      <c r="O9" s="423">
        <f t="shared" si="1"/>
        <v>6.5625</v>
      </c>
      <c r="P9" s="423">
        <f t="shared" si="2"/>
        <v>2.625</v>
      </c>
      <c r="Q9" s="423">
        <f t="shared" si="3"/>
        <v>3.9375</v>
      </c>
    </row>
    <row r="10" spans="2:17">
      <c r="B10" s="19" t="s">
        <v>245</v>
      </c>
      <c r="C10" s="21">
        <v>3</v>
      </c>
      <c r="D10" s="21">
        <v>18</v>
      </c>
      <c r="E10" s="29">
        <v>27</v>
      </c>
      <c r="F10" s="21">
        <v>18</v>
      </c>
      <c r="G10" s="21">
        <v>-7</v>
      </c>
      <c r="H10" s="21">
        <v>-3</v>
      </c>
      <c r="I10" s="21">
        <v>80</v>
      </c>
      <c r="J10" s="21">
        <v>120</v>
      </c>
      <c r="K10" s="21">
        <v>320</v>
      </c>
      <c r="L10" s="29">
        <v>360</v>
      </c>
      <c r="M10" s="27">
        <v>27</v>
      </c>
      <c r="N10" s="423">
        <f t="shared" si="0"/>
        <v>1.6875</v>
      </c>
      <c r="O10" s="423">
        <f t="shared" si="1"/>
        <v>8.4375</v>
      </c>
      <c r="P10" s="423">
        <f t="shared" si="2"/>
        <v>3.375</v>
      </c>
      <c r="Q10" s="423">
        <f t="shared" si="3"/>
        <v>5.0625</v>
      </c>
    </row>
    <row r="11" spans="2:17">
      <c r="B11" s="19" t="s">
        <v>246</v>
      </c>
      <c r="C11" s="21">
        <v>4</v>
      </c>
      <c r="D11" s="21">
        <v>22</v>
      </c>
      <c r="E11" s="29">
        <v>33</v>
      </c>
      <c r="F11" s="21">
        <v>20</v>
      </c>
      <c r="G11" s="21">
        <v>-8</v>
      </c>
      <c r="H11" s="21">
        <v>-4</v>
      </c>
      <c r="I11" s="21">
        <v>115</v>
      </c>
      <c r="J11" s="21">
        <v>150</v>
      </c>
      <c r="K11" s="21">
        <v>460</v>
      </c>
      <c r="L11" s="29">
        <v>480</v>
      </c>
      <c r="M11" s="27">
        <v>34</v>
      </c>
      <c r="N11" s="423">
        <f t="shared" si="0"/>
        <v>2.125</v>
      </c>
      <c r="O11" s="423">
        <f t="shared" si="1"/>
        <v>10.625</v>
      </c>
      <c r="P11" s="423">
        <f t="shared" si="2"/>
        <v>4.25</v>
      </c>
      <c r="Q11" s="423">
        <f t="shared" si="3"/>
        <v>6.375</v>
      </c>
    </row>
    <row r="12" spans="2:17">
      <c r="B12" s="19" t="s">
        <v>247</v>
      </c>
      <c r="C12" s="21">
        <v>4</v>
      </c>
      <c r="D12" s="21">
        <v>24</v>
      </c>
      <c r="E12" s="29">
        <v>36</v>
      </c>
      <c r="F12" s="21">
        <v>23</v>
      </c>
      <c r="G12" s="21">
        <v>-9</v>
      </c>
      <c r="H12" s="21">
        <v>-4</v>
      </c>
      <c r="I12" s="21">
        <v>185</v>
      </c>
      <c r="J12" s="21">
        <v>170</v>
      </c>
      <c r="K12" s="21">
        <v>650</v>
      </c>
      <c r="L12" s="29">
        <v>920</v>
      </c>
      <c r="M12" s="27">
        <v>42</v>
      </c>
      <c r="N12" s="423">
        <f t="shared" si="0"/>
        <v>2.625</v>
      </c>
      <c r="O12" s="423">
        <f t="shared" si="1"/>
        <v>13.125</v>
      </c>
      <c r="P12" s="423">
        <f t="shared" si="2"/>
        <v>5.25</v>
      </c>
      <c r="Q12" s="423">
        <f t="shared" si="3"/>
        <v>7.875</v>
      </c>
    </row>
    <row r="13" spans="2:17">
      <c r="B13" s="20" t="s">
        <v>248</v>
      </c>
      <c r="C13" s="22">
        <v>5</v>
      </c>
      <c r="D13" s="22">
        <v>27</v>
      </c>
      <c r="E13" s="30">
        <v>40</v>
      </c>
      <c r="F13" s="22">
        <v>25</v>
      </c>
      <c r="G13" s="22">
        <v>-10</v>
      </c>
      <c r="H13" s="22">
        <v>-5</v>
      </c>
      <c r="I13" s="22">
        <v>250</v>
      </c>
      <c r="J13" s="22">
        <v>200</v>
      </c>
      <c r="K13" s="22">
        <v>1000</v>
      </c>
      <c r="L13" s="30">
        <v>1150</v>
      </c>
      <c r="M13" s="28">
        <v>50</v>
      </c>
      <c r="N13" s="424">
        <f t="shared" si="0"/>
        <v>3.125</v>
      </c>
      <c r="O13" s="424">
        <f t="shared" si="1"/>
        <v>15.625</v>
      </c>
      <c r="P13" s="424">
        <f t="shared" si="2"/>
        <v>6.25</v>
      </c>
      <c r="Q13" s="424">
        <f t="shared" si="3"/>
        <v>9.375</v>
      </c>
    </row>
    <row r="14" spans="2:17">
      <c r="F14" s="24"/>
      <c r="G14" s="24"/>
      <c r="H14" s="24"/>
      <c r="I14" s="24"/>
      <c r="J14" s="24"/>
      <c r="K14" s="24"/>
      <c r="L14" s="24"/>
      <c r="M14" s="2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theme="1"/>
  </sheetPr>
  <dimension ref="B2:P10"/>
  <sheetViews>
    <sheetView workbookViewId="0"/>
  </sheetViews>
  <sheetFormatPr defaultRowHeight="15"/>
  <cols>
    <col min="2" max="2" width="13.7109375" customWidth="1"/>
    <col min="3" max="16" width="10.7109375" customWidth="1"/>
  </cols>
  <sheetData>
    <row r="2" spans="2:16">
      <c r="B2" s="97" t="s">
        <v>341</v>
      </c>
      <c r="C2" s="97" t="s">
        <v>249</v>
      </c>
      <c r="D2" s="97" t="s">
        <v>214</v>
      </c>
      <c r="E2" s="97" t="s">
        <v>68</v>
      </c>
      <c r="F2" s="97" t="s">
        <v>262</v>
      </c>
      <c r="G2" s="97" t="s">
        <v>25</v>
      </c>
      <c r="H2" s="97" t="s">
        <v>60</v>
      </c>
      <c r="I2" s="97" t="s">
        <v>1</v>
      </c>
      <c r="J2" s="97" t="s">
        <v>263</v>
      </c>
      <c r="K2" s="97" t="s">
        <v>279</v>
      </c>
      <c r="L2" s="97" t="s">
        <v>275</v>
      </c>
      <c r="M2" s="97" t="s">
        <v>250</v>
      </c>
      <c r="N2" s="97" t="s">
        <v>551</v>
      </c>
      <c r="O2" s="97" t="s">
        <v>15</v>
      </c>
      <c r="P2" s="111" t="s">
        <v>14</v>
      </c>
    </row>
    <row r="3" spans="2:16">
      <c r="B3" s="19" t="s">
        <v>36</v>
      </c>
      <c r="C3" s="29">
        <v>0</v>
      </c>
      <c r="D3" s="21" t="e">
        <f>MAX(Character!$I$25, 0)</f>
        <v>#VALUE!</v>
      </c>
      <c r="E3" s="33" t="s">
        <v>264</v>
      </c>
      <c r="F3" s="21">
        <v>1</v>
      </c>
      <c r="G3" s="21">
        <v>0</v>
      </c>
      <c r="H3" s="21">
        <v>6</v>
      </c>
      <c r="I3" s="21">
        <v>5</v>
      </c>
      <c r="J3" s="21" t="e">
        <f>MAX(Character!$I$25, 0)</f>
        <v>#VALUE!</v>
      </c>
      <c r="K3" s="33" t="s">
        <v>264</v>
      </c>
      <c r="L3" s="21">
        <v>1</v>
      </c>
      <c r="M3" s="21">
        <v>0</v>
      </c>
      <c r="N3" s="7">
        <v>0</v>
      </c>
      <c r="O3" s="29">
        <v>2</v>
      </c>
      <c r="P3" s="31">
        <v>1</v>
      </c>
    </row>
    <row r="4" spans="2:16">
      <c r="B4" s="19" t="s">
        <v>256</v>
      </c>
      <c r="C4" s="29">
        <v>1</v>
      </c>
      <c r="D4" s="21" t="e">
        <f>MAX(Character!$I$25,0)+1</f>
        <v>#VALUE!</v>
      </c>
      <c r="E4" s="33" t="s">
        <v>265</v>
      </c>
      <c r="F4" s="21">
        <v>2</v>
      </c>
      <c r="G4" s="21">
        <v>-1</v>
      </c>
      <c r="H4" s="21">
        <v>12</v>
      </c>
      <c r="I4" s="21">
        <v>9</v>
      </c>
      <c r="J4" s="21" t="e">
        <f>MAX(Character!$I$25, 0)+5</f>
        <v>#VALUE!</v>
      </c>
      <c r="K4" s="33" t="s">
        <v>270</v>
      </c>
      <c r="L4" s="21">
        <v>4</v>
      </c>
      <c r="M4" s="21">
        <v>0</v>
      </c>
      <c r="N4" s="7">
        <v>0</v>
      </c>
      <c r="O4" s="29">
        <v>5</v>
      </c>
      <c r="P4" s="31">
        <v>1.5</v>
      </c>
    </row>
    <row r="5" spans="2:16">
      <c r="B5" s="19" t="s">
        <v>257</v>
      </c>
      <c r="C5" s="29">
        <v>2</v>
      </c>
      <c r="D5" s="21" t="e">
        <f>MAX(Character!$I$25, 0)+2</f>
        <v>#VALUE!</v>
      </c>
      <c r="E5" s="33" t="s">
        <v>266</v>
      </c>
      <c r="F5" s="21">
        <v>3</v>
      </c>
      <c r="G5" s="21">
        <v>-2</v>
      </c>
      <c r="H5" s="21">
        <v>18</v>
      </c>
      <c r="I5" s="21">
        <v>13</v>
      </c>
      <c r="J5" s="21" t="e">
        <f>MAX(Character!$I$25, 0)+6</f>
        <v>#VALUE!</v>
      </c>
      <c r="K5" s="33" t="s">
        <v>271</v>
      </c>
      <c r="L5" s="21">
        <v>6</v>
      </c>
      <c r="M5" s="21">
        <v>-1</v>
      </c>
      <c r="N5" s="7">
        <v>1</v>
      </c>
      <c r="O5" s="29">
        <v>10</v>
      </c>
      <c r="P5" s="31">
        <v>2</v>
      </c>
    </row>
    <row r="6" spans="2:16">
      <c r="B6" s="19" t="s">
        <v>258</v>
      </c>
      <c r="C6" s="29">
        <v>3</v>
      </c>
      <c r="D6" s="21" t="e">
        <f>MAX(Character!$I$25, 0)+3</f>
        <v>#VALUE!</v>
      </c>
      <c r="E6" s="33" t="s">
        <v>267</v>
      </c>
      <c r="F6" s="21">
        <v>4</v>
      </c>
      <c r="G6" s="21">
        <v>-4</v>
      </c>
      <c r="H6" s="21">
        <v>24</v>
      </c>
      <c r="I6" s="21">
        <v>17</v>
      </c>
      <c r="J6" s="21" t="e">
        <f>MAX(Character!$I$25, 0)+7</f>
        <v>#VALUE!</v>
      </c>
      <c r="K6" s="33" t="s">
        <v>272</v>
      </c>
      <c r="L6" s="21">
        <v>8</v>
      </c>
      <c r="M6" s="21">
        <v>-2</v>
      </c>
      <c r="N6" s="7">
        <v>1</v>
      </c>
      <c r="O6" s="29">
        <v>30</v>
      </c>
      <c r="P6" s="31">
        <v>3</v>
      </c>
    </row>
    <row r="7" spans="2:16">
      <c r="B7" s="19" t="s">
        <v>259</v>
      </c>
      <c r="C7" s="29">
        <v>4</v>
      </c>
      <c r="D7" s="21" t="e">
        <f>MAX(Character!$I$25, 0)+4</f>
        <v>#VALUE!</v>
      </c>
      <c r="E7" s="33" t="s">
        <v>268</v>
      </c>
      <c r="F7" s="21">
        <v>5</v>
      </c>
      <c r="G7" s="21">
        <v>-5</v>
      </c>
      <c r="H7" s="21">
        <v>30</v>
      </c>
      <c r="I7" s="21">
        <v>21</v>
      </c>
      <c r="J7" s="21" t="e">
        <f>MAX(Character!$I$25, 0)+8</f>
        <v>#VALUE!</v>
      </c>
      <c r="K7" s="33" t="s">
        <v>273</v>
      </c>
      <c r="L7" s="21">
        <v>10</v>
      </c>
      <c r="M7" s="21">
        <v>-2</v>
      </c>
      <c r="N7" s="7">
        <v>1</v>
      </c>
      <c r="O7" s="29">
        <v>100</v>
      </c>
      <c r="P7" s="31">
        <v>4.5</v>
      </c>
    </row>
    <row r="8" spans="2:16">
      <c r="B8" s="19" t="s">
        <v>260</v>
      </c>
      <c r="C8" s="29">
        <v>5</v>
      </c>
      <c r="D8" s="21" t="e">
        <f>MAX(Character!$I$25, 0)+5</f>
        <v>#VALUE!</v>
      </c>
      <c r="E8" s="33" t="s">
        <v>269</v>
      </c>
      <c r="F8" s="21">
        <v>6</v>
      </c>
      <c r="G8" s="21">
        <v>-6</v>
      </c>
      <c r="H8" s="21">
        <v>32</v>
      </c>
      <c r="I8" s="21">
        <v>23</v>
      </c>
      <c r="J8" s="21" t="e">
        <f>MAX(Character!$I$25, 0)+9</f>
        <v>#VALUE!</v>
      </c>
      <c r="K8" s="33" t="s">
        <v>274</v>
      </c>
      <c r="L8" s="21">
        <v>12</v>
      </c>
      <c r="M8" s="21">
        <v>-3</v>
      </c>
      <c r="N8" s="7">
        <v>2</v>
      </c>
      <c r="O8" s="29">
        <v>200</v>
      </c>
      <c r="P8" s="31">
        <v>6</v>
      </c>
    </row>
    <row r="9" spans="2:16">
      <c r="B9" s="20" t="s">
        <v>261</v>
      </c>
      <c r="C9" s="30">
        <v>5</v>
      </c>
      <c r="D9" s="22"/>
      <c r="E9" s="22"/>
      <c r="F9" s="22">
        <v>10</v>
      </c>
      <c r="G9" s="22">
        <v>-10</v>
      </c>
      <c r="H9" s="22">
        <v>36</v>
      </c>
      <c r="I9" s="22">
        <v>25</v>
      </c>
      <c r="J9" s="22"/>
      <c r="K9" s="22"/>
      <c r="L9" s="22">
        <v>20</v>
      </c>
      <c r="M9" s="22">
        <v>-5</v>
      </c>
      <c r="N9" s="8">
        <v>3</v>
      </c>
      <c r="O9" s="30">
        <v>300</v>
      </c>
      <c r="P9" s="32">
        <v>8</v>
      </c>
    </row>
    <row r="10" spans="2:16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theme="1"/>
  </sheetPr>
  <dimension ref="B2:F13"/>
  <sheetViews>
    <sheetView workbookViewId="0"/>
  </sheetViews>
  <sheetFormatPr defaultRowHeight="15"/>
  <cols>
    <col min="2" max="2" width="9.140625" customWidth="1"/>
    <col min="3" max="3" width="15.5703125" customWidth="1"/>
  </cols>
  <sheetData>
    <row r="2" spans="2:6">
      <c r="B2" s="97" t="s">
        <v>48</v>
      </c>
      <c r="C2" s="97" t="s">
        <v>56</v>
      </c>
      <c r="D2" s="97" t="s">
        <v>193</v>
      </c>
      <c r="E2" s="97" t="s">
        <v>14</v>
      </c>
      <c r="F2" s="111" t="s">
        <v>199</v>
      </c>
    </row>
    <row r="3" spans="2:6">
      <c r="B3" s="11" t="s">
        <v>342</v>
      </c>
      <c r="C3" s="19" t="s">
        <v>39</v>
      </c>
      <c r="D3" s="21" t="s">
        <v>57</v>
      </c>
      <c r="E3" s="21">
        <v>0.1</v>
      </c>
      <c r="F3" s="14">
        <v>1</v>
      </c>
    </row>
    <row r="4" spans="2:6">
      <c r="B4" s="7" t="s">
        <v>342</v>
      </c>
      <c r="C4" s="19" t="s">
        <v>194</v>
      </c>
      <c r="D4" s="62" t="s">
        <v>195</v>
      </c>
      <c r="E4" s="21">
        <v>0.1</v>
      </c>
      <c r="F4" s="14">
        <v>2</v>
      </c>
    </row>
    <row r="5" spans="2:6">
      <c r="B5" s="7" t="s">
        <v>342</v>
      </c>
      <c r="C5" s="41" t="s">
        <v>292</v>
      </c>
      <c r="D5" s="62" t="s">
        <v>310</v>
      </c>
      <c r="E5" s="21">
        <v>0.2</v>
      </c>
      <c r="F5" s="14">
        <v>5</v>
      </c>
    </row>
    <row r="6" spans="2:6">
      <c r="B6" s="11" t="s">
        <v>343</v>
      </c>
      <c r="C6" s="116" t="s">
        <v>288</v>
      </c>
      <c r="D6" s="35" t="s">
        <v>196</v>
      </c>
      <c r="E6" s="35">
        <v>0.1</v>
      </c>
      <c r="F6" s="68">
        <v>1</v>
      </c>
    </row>
    <row r="7" spans="2:6">
      <c r="B7" s="7" t="s">
        <v>343</v>
      </c>
      <c r="C7" s="41" t="s">
        <v>289</v>
      </c>
      <c r="D7" s="62" t="s">
        <v>197</v>
      </c>
      <c r="E7" s="21">
        <v>0.1</v>
      </c>
      <c r="F7" s="14">
        <v>2</v>
      </c>
    </row>
    <row r="8" spans="2:6">
      <c r="B8" s="8" t="s">
        <v>343</v>
      </c>
      <c r="C8" s="40" t="s">
        <v>290</v>
      </c>
      <c r="D8" s="75" t="s">
        <v>309</v>
      </c>
      <c r="E8" s="22">
        <v>0.2</v>
      </c>
      <c r="F8" s="15">
        <v>5</v>
      </c>
    </row>
    <row r="9" spans="2:6">
      <c r="B9" s="8" t="s">
        <v>344</v>
      </c>
      <c r="C9" s="40" t="s">
        <v>291</v>
      </c>
      <c r="D9" s="75" t="s">
        <v>198</v>
      </c>
      <c r="E9" s="22">
        <v>0.1</v>
      </c>
      <c r="F9" s="15">
        <v>2</v>
      </c>
    </row>
    <row r="11" spans="2:6" ht="17.25">
      <c r="B11" s="5" t="s">
        <v>305</v>
      </c>
    </row>
    <row r="12" spans="2:6" ht="17.25">
      <c r="B12" s="5" t="s">
        <v>306</v>
      </c>
    </row>
    <row r="13" spans="2:6">
      <c r="B13" s="8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B2:O162"/>
  <sheetViews>
    <sheetView workbookViewId="0"/>
  </sheetViews>
  <sheetFormatPr defaultRowHeight="15"/>
  <cols>
    <col min="2" max="2" width="30.140625" customWidth="1"/>
    <col min="3" max="4" width="13.7109375" customWidth="1"/>
    <col min="5" max="5" width="36.5703125" customWidth="1"/>
    <col min="6" max="6" width="64" customWidth="1"/>
  </cols>
  <sheetData>
    <row r="2" spans="2:15">
      <c r="B2" s="802" t="s">
        <v>557</v>
      </c>
      <c r="C2" s="803"/>
      <c r="D2" s="803"/>
      <c r="E2" s="803"/>
      <c r="F2" s="803"/>
      <c r="G2" s="358"/>
      <c r="H2" s="357"/>
      <c r="I2" s="357"/>
      <c r="J2" s="357"/>
      <c r="K2" s="357"/>
      <c r="L2" s="357"/>
      <c r="M2" s="357"/>
      <c r="N2" s="357"/>
      <c r="O2" s="357"/>
    </row>
    <row r="3" spans="2:15">
      <c r="B3" s="291"/>
      <c r="C3" s="549" t="s">
        <v>667</v>
      </c>
      <c r="D3" s="575"/>
      <c r="E3" s="550"/>
      <c r="F3" s="291" t="s">
        <v>668</v>
      </c>
      <c r="G3" s="354"/>
      <c r="H3" s="354"/>
      <c r="I3" s="354"/>
      <c r="J3" s="354"/>
      <c r="K3" s="354"/>
      <c r="L3" s="354"/>
    </row>
    <row r="4" spans="2:15">
      <c r="B4" s="11" t="s">
        <v>606</v>
      </c>
      <c r="C4" s="804" t="s">
        <v>647</v>
      </c>
      <c r="D4" s="805"/>
      <c r="E4" s="806"/>
      <c r="F4" s="355"/>
      <c r="G4" s="4"/>
      <c r="H4" s="4"/>
      <c r="I4" s="4"/>
      <c r="J4" s="4"/>
      <c r="K4" s="4"/>
      <c r="L4" s="4"/>
    </row>
    <row r="5" spans="2:15">
      <c r="B5" s="337" t="s">
        <v>5</v>
      </c>
      <c r="C5" s="807" t="s">
        <v>614</v>
      </c>
      <c r="D5" s="808"/>
      <c r="E5" s="809"/>
      <c r="F5" s="356"/>
      <c r="G5" s="4"/>
      <c r="H5" s="4"/>
      <c r="I5" s="4"/>
      <c r="J5" s="4"/>
      <c r="K5" s="4"/>
      <c r="L5" s="4"/>
    </row>
    <row r="6" spans="2:15">
      <c r="B6" s="337" t="s">
        <v>588</v>
      </c>
      <c r="C6" s="793" t="s">
        <v>615</v>
      </c>
      <c r="D6" s="797"/>
      <c r="E6" s="798"/>
      <c r="F6" s="356"/>
      <c r="G6" s="4"/>
      <c r="H6" s="4"/>
      <c r="I6" s="4"/>
      <c r="J6" s="4"/>
      <c r="K6" s="4"/>
      <c r="L6" s="4"/>
    </row>
    <row r="7" spans="2:15">
      <c r="B7" s="337" t="s">
        <v>613</v>
      </c>
      <c r="C7" s="790" t="s">
        <v>653</v>
      </c>
      <c r="D7" s="791"/>
      <c r="E7" s="792"/>
      <c r="F7" s="356"/>
      <c r="G7" s="4"/>
      <c r="H7" s="4"/>
      <c r="I7" s="4"/>
      <c r="J7" s="4"/>
      <c r="K7" s="4"/>
      <c r="L7" s="4"/>
    </row>
    <row r="8" spans="2:15">
      <c r="B8" s="337" t="s">
        <v>611</v>
      </c>
      <c r="C8" s="790" t="s">
        <v>651</v>
      </c>
      <c r="D8" s="791"/>
      <c r="E8" s="792"/>
      <c r="F8" s="356" t="s">
        <v>669</v>
      </c>
      <c r="G8" s="4"/>
      <c r="H8" s="4"/>
      <c r="I8" s="4"/>
      <c r="J8" s="4"/>
      <c r="K8" s="4"/>
      <c r="L8" s="4"/>
    </row>
    <row r="9" spans="2:15">
      <c r="B9" s="337" t="s">
        <v>602</v>
      </c>
      <c r="C9" s="790" t="s">
        <v>642</v>
      </c>
      <c r="D9" s="791"/>
      <c r="E9" s="792"/>
      <c r="F9" s="356" t="s">
        <v>643</v>
      </c>
      <c r="G9" s="4"/>
      <c r="H9" s="4"/>
      <c r="I9" s="4"/>
      <c r="J9" s="4"/>
      <c r="K9" s="4"/>
      <c r="L9" s="4"/>
    </row>
    <row r="10" spans="2:15">
      <c r="B10" s="337" t="s">
        <v>585</v>
      </c>
      <c r="C10" s="793" t="s">
        <v>631</v>
      </c>
      <c r="D10" s="797"/>
      <c r="E10" s="798"/>
      <c r="F10" s="356" t="s">
        <v>765</v>
      </c>
      <c r="G10" s="4"/>
      <c r="H10" s="4"/>
      <c r="I10" s="4"/>
      <c r="J10" s="4"/>
      <c r="K10" s="4"/>
      <c r="L10" s="4"/>
    </row>
    <row r="11" spans="2:15">
      <c r="B11" s="337" t="s">
        <v>578</v>
      </c>
      <c r="C11" s="793" t="s">
        <v>663</v>
      </c>
      <c r="D11" s="797"/>
      <c r="E11" s="798"/>
      <c r="F11" s="356"/>
      <c r="G11" s="4"/>
      <c r="H11" s="4"/>
      <c r="I11" s="4"/>
      <c r="J11" s="4"/>
      <c r="K11" s="4"/>
      <c r="L11" s="4"/>
    </row>
    <row r="12" spans="2:15">
      <c r="B12" s="337" t="s">
        <v>570</v>
      </c>
      <c r="C12" s="790" t="s">
        <v>655</v>
      </c>
      <c r="D12" s="791"/>
      <c r="E12" s="792"/>
      <c r="F12" s="356"/>
      <c r="G12" s="4"/>
      <c r="H12" s="4"/>
      <c r="I12" s="4"/>
      <c r="J12" s="4"/>
      <c r="K12" s="4"/>
      <c r="L12" s="4"/>
    </row>
    <row r="13" spans="2:15">
      <c r="B13" s="337" t="s">
        <v>605</v>
      </c>
      <c r="C13" s="790"/>
      <c r="D13" s="791"/>
      <c r="E13" s="792"/>
      <c r="F13" s="356"/>
      <c r="G13" s="4"/>
      <c r="H13" s="4"/>
      <c r="I13" s="4"/>
      <c r="J13" s="4"/>
      <c r="K13" s="4"/>
      <c r="L13" s="4"/>
    </row>
    <row r="14" spans="2:15">
      <c r="B14" s="337" t="s">
        <v>609</v>
      </c>
      <c r="C14" s="793" t="s">
        <v>649</v>
      </c>
      <c r="D14" s="797"/>
      <c r="E14" s="798"/>
      <c r="F14" s="356"/>
      <c r="G14" s="4"/>
      <c r="H14" s="4"/>
      <c r="I14" s="4"/>
      <c r="J14" s="4"/>
      <c r="K14" s="4"/>
      <c r="L14" s="4"/>
    </row>
    <row r="15" spans="2:15">
      <c r="B15" s="337" t="s">
        <v>574</v>
      </c>
      <c r="C15" s="793" t="s">
        <v>660</v>
      </c>
      <c r="D15" s="797"/>
      <c r="E15" s="798"/>
      <c r="F15" s="356"/>
      <c r="G15" s="4"/>
      <c r="H15" s="4"/>
      <c r="I15" s="4"/>
      <c r="J15" s="4"/>
      <c r="K15" s="4"/>
      <c r="L15" s="4"/>
    </row>
    <row r="16" spans="2:15">
      <c r="B16" s="337" t="s">
        <v>610</v>
      </c>
      <c r="C16" s="790"/>
      <c r="D16" s="791"/>
      <c r="E16" s="792"/>
      <c r="F16" s="356"/>
      <c r="G16" s="4"/>
      <c r="H16" s="4"/>
      <c r="I16" s="4"/>
      <c r="J16" s="4"/>
      <c r="K16" s="4"/>
      <c r="L16" s="4"/>
    </row>
    <row r="17" spans="2:12">
      <c r="B17" s="337" t="s">
        <v>607</v>
      </c>
      <c r="C17" s="790" t="s">
        <v>648</v>
      </c>
      <c r="D17" s="791"/>
      <c r="E17" s="792"/>
      <c r="F17" s="356"/>
      <c r="G17" s="4"/>
      <c r="H17" s="4"/>
      <c r="I17" s="4"/>
      <c r="J17" s="4"/>
      <c r="K17" s="4"/>
      <c r="L17" s="4"/>
    </row>
    <row r="18" spans="2:12">
      <c r="B18" s="337" t="s">
        <v>572</v>
      </c>
      <c r="C18" s="790" t="s">
        <v>657</v>
      </c>
      <c r="D18" s="791"/>
      <c r="E18" s="792"/>
      <c r="F18" s="356"/>
      <c r="G18" s="4"/>
      <c r="H18" s="4"/>
      <c r="I18" s="4"/>
      <c r="J18" s="4"/>
      <c r="K18" s="4"/>
      <c r="L18" s="4"/>
    </row>
    <row r="19" spans="2:12">
      <c r="B19" s="337" t="s">
        <v>577</v>
      </c>
      <c r="C19" s="793" t="s">
        <v>662</v>
      </c>
      <c r="D19" s="797"/>
      <c r="E19" s="798"/>
      <c r="F19" s="356"/>
      <c r="G19" s="4"/>
      <c r="H19" s="4"/>
      <c r="I19" s="4"/>
      <c r="J19" s="4"/>
      <c r="K19" s="4"/>
      <c r="L19" s="4"/>
    </row>
    <row r="20" spans="2:12">
      <c r="B20" s="337" t="s">
        <v>8</v>
      </c>
      <c r="C20" s="790" t="s">
        <v>624</v>
      </c>
      <c r="D20" s="791"/>
      <c r="E20" s="792"/>
      <c r="F20" s="356"/>
      <c r="G20" s="4"/>
      <c r="H20" s="4"/>
      <c r="I20" s="4"/>
      <c r="J20" s="4"/>
      <c r="K20" s="4"/>
      <c r="L20" s="4"/>
    </row>
    <row r="21" spans="2:12">
      <c r="B21" s="337" t="s">
        <v>564</v>
      </c>
      <c r="C21" s="790" t="s">
        <v>623</v>
      </c>
      <c r="D21" s="791"/>
      <c r="E21" s="792"/>
      <c r="F21" s="356" t="s">
        <v>771</v>
      </c>
      <c r="G21" s="4"/>
      <c r="H21" s="4"/>
      <c r="I21" s="4"/>
      <c r="J21" s="4"/>
      <c r="K21" s="4"/>
      <c r="L21" s="4"/>
    </row>
    <row r="22" spans="2:12">
      <c r="B22" s="337" t="s">
        <v>612</v>
      </c>
      <c r="C22" s="790" t="s">
        <v>652</v>
      </c>
      <c r="D22" s="791"/>
      <c r="E22" s="792"/>
      <c r="F22" s="356" t="s">
        <v>766</v>
      </c>
      <c r="G22" s="4"/>
      <c r="H22" s="4"/>
      <c r="I22" s="4"/>
      <c r="J22" s="4"/>
      <c r="K22" s="4"/>
      <c r="L22" s="4"/>
    </row>
    <row r="23" spans="2:12">
      <c r="B23" s="337" t="s">
        <v>590</v>
      </c>
      <c r="C23" s="790" t="s">
        <v>633</v>
      </c>
      <c r="D23" s="791"/>
      <c r="E23" s="792"/>
      <c r="F23" s="356"/>
      <c r="G23" s="4"/>
      <c r="H23" s="4"/>
      <c r="I23" s="4"/>
      <c r="J23" s="4"/>
      <c r="K23" s="4"/>
      <c r="L23" s="4"/>
    </row>
    <row r="24" spans="2:12">
      <c r="B24" s="337" t="s">
        <v>566</v>
      </c>
      <c r="C24" s="790" t="s">
        <v>628</v>
      </c>
      <c r="D24" s="791"/>
      <c r="E24" s="792"/>
      <c r="F24" s="356" t="s">
        <v>627</v>
      </c>
      <c r="G24" s="4"/>
      <c r="H24" s="4"/>
      <c r="I24" s="4"/>
      <c r="J24" s="4"/>
      <c r="K24" s="4"/>
      <c r="L24" s="4"/>
    </row>
    <row r="25" spans="2:12">
      <c r="B25" s="337" t="s">
        <v>589</v>
      </c>
      <c r="C25" s="793" t="s">
        <v>632</v>
      </c>
      <c r="D25" s="797"/>
      <c r="E25" s="798"/>
      <c r="F25" s="356" t="s">
        <v>617</v>
      </c>
      <c r="G25" s="4"/>
      <c r="H25" s="4"/>
      <c r="I25" s="4"/>
      <c r="J25" s="4"/>
      <c r="K25" s="4"/>
      <c r="L25" s="4"/>
    </row>
    <row r="26" spans="2:12">
      <c r="B26" s="337" t="s">
        <v>558</v>
      </c>
      <c r="C26" s="793" t="s">
        <v>616</v>
      </c>
      <c r="D26" s="797"/>
      <c r="E26" s="798"/>
      <c r="F26" s="356" t="s">
        <v>617</v>
      </c>
      <c r="G26" s="4"/>
      <c r="H26" s="4"/>
      <c r="I26" s="4"/>
      <c r="J26" s="4"/>
      <c r="K26" s="4"/>
      <c r="L26" s="4"/>
    </row>
    <row r="27" spans="2:12">
      <c r="B27" s="337" t="s">
        <v>581</v>
      </c>
      <c r="C27" s="793" t="s">
        <v>665</v>
      </c>
      <c r="D27" s="797"/>
      <c r="E27" s="798"/>
      <c r="F27" s="356"/>
      <c r="G27" s="4"/>
      <c r="H27" s="4"/>
      <c r="I27" s="4"/>
      <c r="J27" s="4"/>
      <c r="K27" s="4"/>
      <c r="L27" s="4"/>
    </row>
    <row r="28" spans="2:12">
      <c r="B28" s="337" t="s">
        <v>575</v>
      </c>
      <c r="C28" s="793" t="s">
        <v>661</v>
      </c>
      <c r="D28" s="797"/>
      <c r="E28" s="798"/>
      <c r="F28" s="356"/>
      <c r="G28" s="4"/>
      <c r="H28" s="4"/>
      <c r="I28" s="4"/>
      <c r="J28" s="4"/>
      <c r="K28" s="4"/>
      <c r="L28" s="4"/>
    </row>
    <row r="29" spans="2:12">
      <c r="B29" s="337" t="s">
        <v>7</v>
      </c>
      <c r="C29" s="790" t="s">
        <v>654</v>
      </c>
      <c r="D29" s="791"/>
      <c r="E29" s="792"/>
      <c r="F29" s="356" t="s">
        <v>671</v>
      </c>
      <c r="G29" s="4"/>
      <c r="H29" s="4"/>
      <c r="I29" s="4"/>
      <c r="J29" s="4"/>
      <c r="K29" s="4"/>
      <c r="L29" s="4"/>
    </row>
    <row r="30" spans="2:12">
      <c r="B30" s="337" t="s">
        <v>598</v>
      </c>
      <c r="C30" s="790"/>
      <c r="D30" s="791"/>
      <c r="E30" s="792"/>
      <c r="F30" s="356"/>
      <c r="G30" s="4"/>
      <c r="H30" s="4"/>
      <c r="I30" s="4"/>
      <c r="J30" s="4"/>
      <c r="K30" s="4"/>
      <c r="L30" s="4"/>
    </row>
    <row r="31" spans="2:12">
      <c r="B31" s="337" t="s">
        <v>595</v>
      </c>
      <c r="C31" s="790" t="e">
        <f>"Limity nosnosti posunuty o "&amp;Character!H19/2&amp;" kg"</f>
        <v>#VALUE!</v>
      </c>
      <c r="D31" s="791"/>
      <c r="E31" s="792"/>
      <c r="F31" s="356"/>
      <c r="G31" s="4"/>
      <c r="H31" s="4"/>
      <c r="I31" s="4"/>
      <c r="J31" s="4"/>
      <c r="K31" s="4"/>
      <c r="L31" s="4"/>
    </row>
    <row r="32" spans="2:12">
      <c r="B32" s="337" t="s">
        <v>608</v>
      </c>
      <c r="C32" s="793" t="s">
        <v>650</v>
      </c>
      <c r="D32" s="797"/>
      <c r="E32" s="798"/>
      <c r="F32" s="356" t="s">
        <v>767</v>
      </c>
      <c r="G32" s="4"/>
      <c r="H32" s="4"/>
      <c r="I32" s="4"/>
      <c r="J32" s="4"/>
      <c r="K32" s="4"/>
      <c r="L32" s="4"/>
    </row>
    <row r="33" spans="2:12">
      <c r="B33" s="337" t="s">
        <v>580</v>
      </c>
      <c r="C33" s="790"/>
      <c r="D33" s="791"/>
      <c r="E33" s="792"/>
      <c r="F33" s="356"/>
      <c r="G33" s="4"/>
      <c r="H33" s="4"/>
      <c r="I33" s="4"/>
      <c r="J33" s="4"/>
      <c r="K33" s="4"/>
      <c r="L33" s="4"/>
    </row>
    <row r="34" spans="2:12">
      <c r="B34" s="337" t="s">
        <v>593</v>
      </c>
      <c r="C34" s="790" t="s">
        <v>636</v>
      </c>
      <c r="D34" s="791"/>
      <c r="E34" s="792"/>
      <c r="F34" s="356"/>
      <c r="G34" s="4"/>
      <c r="H34" s="4"/>
      <c r="I34" s="4"/>
      <c r="J34" s="4"/>
      <c r="K34" s="4"/>
      <c r="L34" s="4"/>
    </row>
    <row r="35" spans="2:12">
      <c r="B35" s="337" t="s">
        <v>586</v>
      </c>
      <c r="C35" s="790"/>
      <c r="D35" s="791"/>
      <c r="E35" s="792"/>
      <c r="F35" s="356"/>
      <c r="G35" s="4"/>
      <c r="H35" s="4"/>
      <c r="I35" s="4"/>
      <c r="J35" s="4"/>
      <c r="K35" s="4"/>
      <c r="L35" s="4"/>
    </row>
    <row r="36" spans="2:12">
      <c r="B36" s="337" t="s">
        <v>9</v>
      </c>
      <c r="C36" s="793" t="s">
        <v>618</v>
      </c>
      <c r="D36" s="797"/>
      <c r="E36" s="798"/>
      <c r="F36" s="356"/>
      <c r="G36" s="4"/>
      <c r="H36" s="4"/>
      <c r="I36" s="4"/>
      <c r="J36" s="4"/>
      <c r="K36" s="4"/>
      <c r="L36" s="4"/>
    </row>
    <row r="37" spans="2:12">
      <c r="B37" s="337" t="s">
        <v>587</v>
      </c>
      <c r="C37" s="790"/>
      <c r="D37" s="791"/>
      <c r="E37" s="792"/>
      <c r="F37" s="356"/>
      <c r="G37" s="4"/>
      <c r="H37" s="4"/>
      <c r="I37" s="4"/>
      <c r="J37" s="4"/>
      <c r="K37" s="4"/>
      <c r="L37" s="4"/>
    </row>
    <row r="38" spans="2:12">
      <c r="B38" s="337" t="s">
        <v>603</v>
      </c>
      <c r="C38" s="793" t="s">
        <v>644</v>
      </c>
      <c r="D38" s="797"/>
      <c r="E38" s="798"/>
      <c r="F38" s="356"/>
      <c r="G38" s="4"/>
      <c r="H38" s="4"/>
      <c r="I38" s="4"/>
      <c r="J38" s="4"/>
      <c r="K38" s="4"/>
      <c r="L38" s="4"/>
    </row>
    <row r="39" spans="2:12">
      <c r="B39" s="337" t="s">
        <v>560</v>
      </c>
      <c r="C39" s="790" t="s">
        <v>620</v>
      </c>
      <c r="D39" s="791"/>
      <c r="E39" s="792"/>
      <c r="F39" s="356"/>
      <c r="G39" s="4"/>
      <c r="H39" s="4"/>
      <c r="I39" s="4"/>
      <c r="J39" s="4"/>
      <c r="K39" s="4"/>
      <c r="L39" s="4"/>
    </row>
    <row r="40" spans="2:12">
      <c r="B40" s="337" t="s">
        <v>573</v>
      </c>
      <c r="C40" s="793" t="s">
        <v>659</v>
      </c>
      <c r="D40" s="797"/>
      <c r="E40" s="798"/>
      <c r="F40" s="356" t="s">
        <v>768</v>
      </c>
      <c r="G40" s="4"/>
      <c r="H40" s="4"/>
      <c r="I40" s="4"/>
      <c r="J40" s="4"/>
      <c r="K40" s="4"/>
      <c r="L40" s="4"/>
    </row>
    <row r="41" spans="2:12">
      <c r="B41" s="337" t="s">
        <v>584</v>
      </c>
      <c r="C41" s="790"/>
      <c r="D41" s="791"/>
      <c r="E41" s="792"/>
      <c r="F41" s="356"/>
      <c r="G41" s="4"/>
      <c r="H41" s="4"/>
      <c r="I41" s="4"/>
      <c r="J41" s="4"/>
      <c r="K41" s="4"/>
      <c r="L41" s="4"/>
    </row>
    <row r="42" spans="2:12">
      <c r="B42" s="337" t="s">
        <v>561</v>
      </c>
      <c r="C42" s="790" t="s">
        <v>621</v>
      </c>
      <c r="D42" s="791"/>
      <c r="E42" s="792"/>
      <c r="F42" s="356"/>
      <c r="G42" s="4"/>
      <c r="H42" s="4"/>
      <c r="I42" s="4"/>
      <c r="J42" s="4"/>
      <c r="K42" s="4"/>
      <c r="L42" s="4"/>
    </row>
    <row r="43" spans="2:12">
      <c r="B43" s="337" t="s">
        <v>576</v>
      </c>
      <c r="C43" s="793" t="s">
        <v>769</v>
      </c>
      <c r="D43" s="797"/>
      <c r="E43" s="798"/>
      <c r="F43" s="356"/>
      <c r="G43" s="4"/>
      <c r="H43" s="4"/>
      <c r="I43" s="4"/>
      <c r="J43" s="4"/>
      <c r="K43" s="4"/>
      <c r="L43" s="4"/>
    </row>
    <row r="44" spans="2:12">
      <c r="B44" s="337" t="s">
        <v>579</v>
      </c>
      <c r="C44" s="790" t="s">
        <v>664</v>
      </c>
      <c r="D44" s="791"/>
      <c r="E44" s="792"/>
      <c r="F44" s="356"/>
      <c r="G44" s="4"/>
      <c r="H44" s="4"/>
      <c r="I44" s="4"/>
      <c r="J44" s="4"/>
      <c r="K44" s="4"/>
      <c r="L44" s="4"/>
    </row>
    <row r="45" spans="2:12">
      <c r="B45" s="337" t="s">
        <v>567</v>
      </c>
      <c r="C45" s="790" t="s">
        <v>629</v>
      </c>
      <c r="D45" s="791"/>
      <c r="E45" s="792"/>
      <c r="F45" s="356"/>
      <c r="G45" s="4"/>
      <c r="H45" s="4"/>
      <c r="I45" s="4"/>
      <c r="J45" s="4"/>
      <c r="K45" s="4"/>
      <c r="L45" s="4"/>
    </row>
    <row r="46" spans="2:12">
      <c r="B46" s="337" t="s">
        <v>604</v>
      </c>
      <c r="C46" s="790" t="s">
        <v>645</v>
      </c>
      <c r="D46" s="791"/>
      <c r="E46" s="792"/>
      <c r="F46" s="356" t="s">
        <v>646</v>
      </c>
      <c r="G46" s="4"/>
      <c r="H46" s="4"/>
      <c r="I46" s="4"/>
      <c r="J46" s="4"/>
      <c r="K46" s="4"/>
      <c r="L46" s="4"/>
    </row>
    <row r="47" spans="2:12">
      <c r="B47" s="337" t="s">
        <v>594</v>
      </c>
      <c r="C47" s="790" t="s">
        <v>637</v>
      </c>
      <c r="D47" s="791"/>
      <c r="E47" s="792"/>
      <c r="F47" s="356"/>
      <c r="G47" s="4"/>
      <c r="H47" s="4"/>
      <c r="I47" s="4"/>
      <c r="J47" s="4"/>
      <c r="K47" s="4"/>
      <c r="L47" s="4"/>
    </row>
    <row r="48" spans="2:12">
      <c r="B48" s="337" t="s">
        <v>596</v>
      </c>
      <c r="C48" s="790" t="s">
        <v>638</v>
      </c>
      <c r="D48" s="791"/>
      <c r="E48" s="792"/>
      <c r="F48" s="356"/>
      <c r="G48" s="4"/>
      <c r="H48" s="4"/>
      <c r="I48" s="4"/>
      <c r="J48" s="4"/>
      <c r="K48" s="4"/>
      <c r="L48" s="4"/>
    </row>
    <row r="49" spans="2:12">
      <c r="B49" s="337" t="s">
        <v>601</v>
      </c>
      <c r="C49" s="790" t="s">
        <v>640</v>
      </c>
      <c r="D49" s="791"/>
      <c r="E49" s="792"/>
      <c r="F49" s="356"/>
      <c r="G49" s="4"/>
      <c r="H49" s="4"/>
      <c r="I49" s="4"/>
      <c r="J49" s="4"/>
      <c r="K49" s="4"/>
      <c r="L49" s="4"/>
    </row>
    <row r="50" spans="2:12">
      <c r="B50" s="337" t="s">
        <v>591</v>
      </c>
      <c r="C50" s="790" t="s">
        <v>634</v>
      </c>
      <c r="D50" s="791"/>
      <c r="E50" s="792"/>
      <c r="F50" s="356"/>
      <c r="G50" s="4"/>
      <c r="H50" s="4"/>
      <c r="I50" s="4"/>
      <c r="J50" s="4"/>
      <c r="K50" s="4"/>
      <c r="L50" s="4"/>
    </row>
    <row r="51" spans="2:12">
      <c r="B51" s="337" t="s">
        <v>6</v>
      </c>
      <c r="C51" s="793" t="s">
        <v>658</v>
      </c>
      <c r="D51" s="797"/>
      <c r="E51" s="798"/>
      <c r="F51" s="356"/>
      <c r="G51" s="4"/>
      <c r="H51" s="4"/>
      <c r="I51" s="4"/>
      <c r="J51" s="4"/>
      <c r="K51" s="4"/>
      <c r="L51" s="4"/>
    </row>
    <row r="52" spans="2:12">
      <c r="B52" s="337" t="s">
        <v>562</v>
      </c>
      <c r="C52" s="793" t="s">
        <v>622</v>
      </c>
      <c r="D52" s="797"/>
      <c r="E52" s="798"/>
      <c r="F52" s="356"/>
      <c r="G52" s="4"/>
      <c r="H52" s="4"/>
      <c r="I52" s="4"/>
      <c r="J52" s="4"/>
      <c r="K52" s="4"/>
      <c r="L52" s="4"/>
    </row>
    <row r="53" spans="2:12">
      <c r="B53" s="337" t="s">
        <v>571</v>
      </c>
      <c r="C53" s="790" t="s">
        <v>656</v>
      </c>
      <c r="D53" s="791"/>
      <c r="E53" s="792"/>
      <c r="F53" s="356"/>
      <c r="G53" s="4"/>
      <c r="H53" s="4"/>
      <c r="I53" s="4"/>
      <c r="J53" s="4"/>
      <c r="K53" s="4"/>
      <c r="L53" s="4"/>
    </row>
    <row r="54" spans="2:12">
      <c r="B54" s="337" t="s">
        <v>569</v>
      </c>
      <c r="C54" s="799" t="s">
        <v>764</v>
      </c>
      <c r="D54" s="800"/>
      <c r="E54" s="801"/>
      <c r="F54" s="356"/>
      <c r="G54" s="4"/>
      <c r="H54" s="4"/>
      <c r="I54" s="4"/>
      <c r="J54" s="4"/>
      <c r="K54" s="4"/>
      <c r="L54" s="4"/>
    </row>
    <row r="55" spans="2:12">
      <c r="B55" s="337" t="s">
        <v>599</v>
      </c>
      <c r="C55" s="793" t="s">
        <v>641</v>
      </c>
      <c r="D55" s="797"/>
      <c r="E55" s="798"/>
      <c r="F55" s="356" t="s">
        <v>770</v>
      </c>
      <c r="G55" s="4"/>
      <c r="H55" s="4"/>
      <c r="I55" s="4"/>
      <c r="J55" s="4"/>
      <c r="K55" s="4"/>
      <c r="L55" s="4"/>
    </row>
    <row r="56" spans="2:12">
      <c r="B56" s="337" t="s">
        <v>600</v>
      </c>
      <c r="C56" s="790" t="str">
        <f>"Působíš dojmem šlechtice na "&amp;Character!H24*2&amp;"%"</f>
        <v>Působíš dojmem šlechtice na 0%</v>
      </c>
      <c r="D56" s="791"/>
      <c r="E56" s="792"/>
      <c r="F56" s="356"/>
      <c r="G56" s="4"/>
      <c r="H56" s="4"/>
      <c r="I56" s="4"/>
      <c r="J56" s="4"/>
      <c r="K56" s="4"/>
      <c r="L56" s="4"/>
    </row>
    <row r="57" spans="2:12">
      <c r="B57" s="337" t="s">
        <v>563</v>
      </c>
      <c r="C57" s="790" t="s">
        <v>625</v>
      </c>
      <c r="D57" s="791"/>
      <c r="E57" s="792"/>
      <c r="F57" s="356"/>
      <c r="G57" s="4"/>
      <c r="H57" s="4"/>
      <c r="I57" s="4"/>
      <c r="J57" s="4"/>
      <c r="K57" s="4"/>
      <c r="L57" s="4"/>
    </row>
    <row r="58" spans="2:12">
      <c r="B58" s="371" t="s">
        <v>783</v>
      </c>
      <c r="C58" s="793" t="s">
        <v>763</v>
      </c>
      <c r="D58" s="791"/>
      <c r="E58" s="792"/>
      <c r="F58" s="356"/>
      <c r="G58" s="4"/>
      <c r="H58" s="4"/>
      <c r="I58" s="4"/>
      <c r="J58" s="4"/>
      <c r="K58" s="4"/>
      <c r="L58" s="4"/>
    </row>
    <row r="59" spans="2:12">
      <c r="B59" s="337" t="s">
        <v>559</v>
      </c>
      <c r="C59" s="793" t="s">
        <v>619</v>
      </c>
      <c r="D59" s="797"/>
      <c r="E59" s="798"/>
      <c r="F59" s="356"/>
      <c r="G59" s="4"/>
      <c r="H59" s="4"/>
      <c r="I59" s="4"/>
      <c r="J59" s="4"/>
      <c r="K59" s="4"/>
      <c r="L59" s="4"/>
    </row>
    <row r="60" spans="2:12">
      <c r="B60" s="337" t="s">
        <v>597</v>
      </c>
      <c r="C60" s="790" t="s">
        <v>639</v>
      </c>
      <c r="D60" s="791"/>
      <c r="E60" s="792"/>
      <c r="F60" s="356"/>
      <c r="G60" s="4"/>
      <c r="H60" s="4"/>
      <c r="I60" s="4"/>
      <c r="J60" s="4"/>
      <c r="K60" s="4"/>
      <c r="L60" s="4"/>
    </row>
    <row r="61" spans="2:12">
      <c r="B61" s="337" t="s">
        <v>582</v>
      </c>
      <c r="C61" s="793" t="s">
        <v>666</v>
      </c>
      <c r="D61" s="797"/>
      <c r="E61" s="798"/>
      <c r="F61" s="356" t="s">
        <v>768</v>
      </c>
      <c r="G61" s="4"/>
      <c r="H61" s="4"/>
      <c r="I61" s="4"/>
      <c r="J61" s="4"/>
      <c r="K61" s="4"/>
      <c r="L61" s="4"/>
    </row>
    <row r="62" spans="2:12">
      <c r="B62" s="337" t="s">
        <v>565</v>
      </c>
      <c r="C62" s="790" t="s">
        <v>626</v>
      </c>
      <c r="D62" s="791"/>
      <c r="E62" s="792"/>
      <c r="F62" s="356"/>
      <c r="G62" s="4"/>
      <c r="H62" s="4"/>
      <c r="I62" s="4"/>
      <c r="J62" s="4"/>
      <c r="K62" s="4"/>
      <c r="L62" s="4"/>
    </row>
    <row r="63" spans="2:12">
      <c r="B63" s="337" t="s">
        <v>568</v>
      </c>
      <c r="C63" s="793" t="s">
        <v>630</v>
      </c>
      <c r="D63" s="797"/>
      <c r="E63" s="798"/>
      <c r="F63" s="356" t="s">
        <v>771</v>
      </c>
      <c r="G63" s="4"/>
      <c r="H63" s="4"/>
      <c r="I63" s="4"/>
      <c r="J63" s="4"/>
      <c r="K63" s="4"/>
      <c r="L63" s="4"/>
    </row>
    <row r="64" spans="2:12">
      <c r="B64" s="337" t="s">
        <v>583</v>
      </c>
      <c r="C64" s="790" t="str">
        <f>Character!H24&amp;"% na úspěšné žebrání"</f>
        <v>0% na úspěšné žebrání</v>
      </c>
      <c r="D64" s="791"/>
      <c r="E64" s="792"/>
      <c r="F64" s="356"/>
      <c r="G64" s="4"/>
      <c r="H64" s="4"/>
      <c r="I64" s="4"/>
      <c r="J64" s="4"/>
      <c r="K64" s="4"/>
      <c r="L64" s="4"/>
    </row>
    <row r="65" spans="2:12">
      <c r="B65" s="338" t="s">
        <v>592</v>
      </c>
      <c r="C65" s="794" t="s">
        <v>635</v>
      </c>
      <c r="D65" s="795"/>
      <c r="E65" s="796"/>
      <c r="F65" s="341"/>
      <c r="G65" s="4"/>
      <c r="H65" s="4"/>
      <c r="I65" s="4"/>
      <c r="J65" s="4"/>
      <c r="K65" s="4"/>
      <c r="L65" s="4"/>
    </row>
    <row r="67" spans="2:12">
      <c r="B67" s="802" t="s">
        <v>677</v>
      </c>
      <c r="C67" s="803"/>
      <c r="D67" s="810"/>
    </row>
    <row r="68" spans="2:12">
      <c r="B68" s="54"/>
      <c r="C68" s="316" t="s">
        <v>429</v>
      </c>
      <c r="D68" s="339" t="s">
        <v>676</v>
      </c>
    </row>
    <row r="69" spans="2:12">
      <c r="B69" s="11" t="s">
        <v>675</v>
      </c>
      <c r="C69" s="342" t="e">
        <f>Character!H20*2</f>
        <v>#VALUE!</v>
      </c>
      <c r="D69" s="342">
        <v>15</v>
      </c>
    </row>
    <row r="70" spans="2:12">
      <c r="B70" s="144" t="s">
        <v>774</v>
      </c>
      <c r="C70" s="42" t="e">
        <f>Character!H22+Character!H23+Character!H24</f>
        <v>#VALUE!</v>
      </c>
      <c r="D70" s="153">
        <v>25</v>
      </c>
    </row>
    <row r="71" spans="2:12">
      <c r="B71" s="340" t="s">
        <v>678</v>
      </c>
      <c r="C71" s="42" t="e">
        <f>Character!H20</f>
        <v>#VALUE!</v>
      </c>
      <c r="D71" s="42">
        <v>20</v>
      </c>
    </row>
    <row r="72" spans="2:12">
      <c r="B72" s="340" t="s">
        <v>23</v>
      </c>
      <c r="C72" s="42" t="e">
        <f>(Character!H20+Character!H22+Character!H23+Character!H24)/4</f>
        <v>#VALUE!</v>
      </c>
      <c r="D72" s="42">
        <v>20</v>
      </c>
    </row>
    <row r="73" spans="2:12">
      <c r="B73" s="340" t="s">
        <v>742</v>
      </c>
      <c r="C73" s="42" t="e">
        <f>2*Character!H22+2*Character!H23</f>
        <v>#VALUE!</v>
      </c>
      <c r="D73" s="42">
        <v>20</v>
      </c>
    </row>
    <row r="74" spans="2:12">
      <c r="B74" s="340" t="s">
        <v>680</v>
      </c>
      <c r="C74" s="42" t="e">
        <f>Character!H22</f>
        <v>#VALUE!</v>
      </c>
      <c r="D74" s="42">
        <v>30</v>
      </c>
    </row>
    <row r="75" spans="2:12">
      <c r="B75" s="340" t="s">
        <v>679</v>
      </c>
      <c r="C75" s="42" t="e">
        <f>Character!H22</f>
        <v>#VALUE!</v>
      </c>
      <c r="D75" s="42">
        <v>30</v>
      </c>
    </row>
    <row r="76" spans="2:12">
      <c r="B76" s="340" t="s">
        <v>681</v>
      </c>
      <c r="C76" s="42" t="e">
        <f>Character!H20+Character!H24</f>
        <v>#VALUE!</v>
      </c>
      <c r="D76" s="42">
        <v>15</v>
      </c>
    </row>
    <row r="77" spans="2:12">
      <c r="B77" s="340" t="s">
        <v>743</v>
      </c>
      <c r="C77" s="42" t="e">
        <f>Character!H23</f>
        <v>#VALUE!</v>
      </c>
      <c r="D77" s="42">
        <v>20</v>
      </c>
    </row>
    <row r="78" spans="2:12">
      <c r="B78" s="340" t="s">
        <v>685</v>
      </c>
      <c r="C78" s="42" t="e">
        <f>(Character!H20+Character!H22)/2</f>
        <v>#VALUE!</v>
      </c>
      <c r="D78" s="42">
        <v>10</v>
      </c>
    </row>
    <row r="79" spans="2:12">
      <c r="B79" s="340" t="s">
        <v>684</v>
      </c>
      <c r="C79" s="42" t="e">
        <f>(Character!H20+Character!H22)/2</f>
        <v>#VALUE!</v>
      </c>
      <c r="D79" s="42">
        <v>15</v>
      </c>
    </row>
    <row r="80" spans="2:12">
      <c r="B80" s="340" t="s">
        <v>683</v>
      </c>
      <c r="C80" s="42" t="e">
        <f>(Character!H20+Character!H22)/2</f>
        <v>#VALUE!</v>
      </c>
      <c r="D80" s="42">
        <v>20</v>
      </c>
    </row>
    <row r="81" spans="2:4">
      <c r="B81" s="340" t="s">
        <v>682</v>
      </c>
      <c r="C81" s="42" t="e">
        <f>3*Character!H20</f>
        <v>#VALUE!</v>
      </c>
      <c r="D81" s="42">
        <v>10</v>
      </c>
    </row>
    <row r="82" spans="2:4">
      <c r="B82" s="340" t="s">
        <v>686</v>
      </c>
      <c r="C82" s="42" t="e">
        <f>Character!H25</f>
        <v>#VALUE!</v>
      </c>
      <c r="D82" s="42">
        <v>25</v>
      </c>
    </row>
    <row r="83" spans="2:4">
      <c r="B83" s="340" t="s">
        <v>689</v>
      </c>
      <c r="C83" s="42" t="e">
        <f>2*Character!H20+Character!H24</f>
        <v>#VALUE!</v>
      </c>
      <c r="D83" s="42">
        <v>10</v>
      </c>
    </row>
    <row r="84" spans="2:4">
      <c r="B84" s="340" t="s">
        <v>687</v>
      </c>
      <c r="C84" s="42" t="e">
        <f>(Character!H20+Character!H22)/2</f>
        <v>#VALUE!</v>
      </c>
      <c r="D84" s="42">
        <v>20</v>
      </c>
    </row>
    <row r="85" spans="2:4">
      <c r="B85" s="340" t="s">
        <v>690</v>
      </c>
      <c r="C85" s="42" t="e">
        <f>(Character!H22+Character!H23)/2</f>
        <v>#VALUE!</v>
      </c>
      <c r="D85" s="42">
        <v>25</v>
      </c>
    </row>
    <row r="86" spans="2:4">
      <c r="B86" s="340" t="s">
        <v>691</v>
      </c>
      <c r="C86" s="42" t="e">
        <f>(Character!H22+Character!H23)/2</f>
        <v>#VALUE!</v>
      </c>
      <c r="D86" s="42">
        <v>25</v>
      </c>
    </row>
    <row r="87" spans="2:4">
      <c r="B87" s="340" t="s">
        <v>692</v>
      </c>
      <c r="C87" s="42" t="e">
        <f>3*Character!H20</f>
        <v>#VALUE!</v>
      </c>
      <c r="D87" s="42">
        <v>25</v>
      </c>
    </row>
    <row r="88" spans="2:4">
      <c r="B88" s="340" t="s">
        <v>694</v>
      </c>
      <c r="C88" s="42" t="e">
        <f>3*Character!H20</f>
        <v>#VALUE!</v>
      </c>
      <c r="D88" s="42">
        <v>20</v>
      </c>
    </row>
    <row r="89" spans="2:4">
      <c r="B89" s="340" t="s">
        <v>693</v>
      </c>
      <c r="C89" s="42" t="e">
        <f>3*Character!H20</f>
        <v>#VALUE!</v>
      </c>
      <c r="D89" s="42">
        <v>20</v>
      </c>
    </row>
    <row r="90" spans="2:4">
      <c r="B90" s="340" t="s">
        <v>695</v>
      </c>
      <c r="C90" s="42" t="e">
        <f>(Character!H23+Character!H22)/2</f>
        <v>#VALUE!</v>
      </c>
      <c r="D90" s="42">
        <v>20</v>
      </c>
    </row>
    <row r="91" spans="2:4">
      <c r="B91" s="340" t="s">
        <v>697</v>
      </c>
      <c r="C91" s="42" t="e">
        <f>Character!H22</f>
        <v>#VALUE!</v>
      </c>
      <c r="D91" s="42">
        <v>20</v>
      </c>
    </row>
    <row r="92" spans="2:4">
      <c r="B92" s="340" t="s">
        <v>696</v>
      </c>
      <c r="C92" s="42" t="e">
        <f>(Character!H23+Character!H22)/2</f>
        <v>#VALUE!</v>
      </c>
      <c r="D92" s="42">
        <v>15</v>
      </c>
    </row>
    <row r="93" spans="2:4">
      <c r="B93" s="340" t="s">
        <v>698</v>
      </c>
      <c r="C93" s="42" t="e">
        <f>Character!H22</f>
        <v>#VALUE!</v>
      </c>
      <c r="D93" s="42">
        <v>20</v>
      </c>
    </row>
    <row r="94" spans="2:4">
      <c r="B94" s="340" t="s">
        <v>744</v>
      </c>
      <c r="C94" s="42" t="e">
        <f>Character!H22+Character!H23</f>
        <v>#VALUE!</v>
      </c>
      <c r="D94" s="42">
        <v>15</v>
      </c>
    </row>
    <row r="95" spans="2:4">
      <c r="B95" s="340" t="s">
        <v>699</v>
      </c>
      <c r="C95" s="42" t="e">
        <f>2*Character!H22+Character!H23</f>
        <v>#VALUE!</v>
      </c>
      <c r="D95" s="42">
        <v>10</v>
      </c>
    </row>
    <row r="96" spans="2:4">
      <c r="B96" s="340" t="s">
        <v>700</v>
      </c>
      <c r="C96" s="42" t="e">
        <f>2*Character!H22+Character!H23</f>
        <v>#VALUE!</v>
      </c>
      <c r="D96" s="42">
        <v>10</v>
      </c>
    </row>
    <row r="97" spans="2:4">
      <c r="B97" s="340" t="s">
        <v>701</v>
      </c>
      <c r="C97" s="42" t="e">
        <f>Character!H22+Character!H23</f>
        <v>#VALUE!</v>
      </c>
      <c r="D97" s="42">
        <v>15</v>
      </c>
    </row>
    <row r="98" spans="2:4">
      <c r="B98" s="340" t="s">
        <v>702</v>
      </c>
      <c r="C98" s="42" t="e">
        <f>2*Character!H23+Character!H22</f>
        <v>#VALUE!</v>
      </c>
      <c r="D98" s="42">
        <v>10</v>
      </c>
    </row>
    <row r="99" spans="2:4">
      <c r="B99" s="340" t="s">
        <v>703</v>
      </c>
      <c r="C99" s="42" t="e">
        <f>Character!H20</f>
        <v>#VALUE!</v>
      </c>
      <c r="D99" s="42">
        <v>20</v>
      </c>
    </row>
    <row r="100" spans="2:4">
      <c r="B100" s="340" t="s">
        <v>704</v>
      </c>
      <c r="C100" s="42" t="e">
        <f>Character!H25</f>
        <v>#VALUE!</v>
      </c>
      <c r="D100" s="42">
        <v>20</v>
      </c>
    </row>
    <row r="101" spans="2:4">
      <c r="B101" s="340" t="s">
        <v>705</v>
      </c>
      <c r="C101" s="42" t="e">
        <f>3*Character!H19&amp;"-Utužování-2*Zbroj"</f>
        <v>#VALUE!</v>
      </c>
      <c r="D101" s="42">
        <v>10</v>
      </c>
    </row>
    <row r="102" spans="2:4">
      <c r="B102" s="340" t="s">
        <v>706</v>
      </c>
      <c r="C102" s="42" t="e">
        <f>2*Character!H22+Character!H23</f>
        <v>#VALUE!</v>
      </c>
      <c r="D102" s="42">
        <v>10</v>
      </c>
    </row>
    <row r="103" spans="2:4">
      <c r="B103" s="340" t="s">
        <v>707</v>
      </c>
      <c r="C103" s="42" t="e">
        <f>4*Character!H20</f>
        <v>#VALUE!</v>
      </c>
      <c r="D103" s="42">
        <v>10</v>
      </c>
    </row>
    <row r="104" spans="2:4">
      <c r="B104" s="340" t="s">
        <v>708</v>
      </c>
      <c r="C104" s="42" t="e">
        <f>2*Character!H20</f>
        <v>#VALUE!</v>
      </c>
      <c r="D104" s="42">
        <v>15</v>
      </c>
    </row>
    <row r="105" spans="2:4">
      <c r="B105" s="340" t="s">
        <v>709</v>
      </c>
      <c r="C105" s="42" t="e">
        <f>(Character!H20+Character!H22)/2</f>
        <v>#VALUE!</v>
      </c>
      <c r="D105" s="42">
        <v>20</v>
      </c>
    </row>
    <row r="106" spans="2:4">
      <c r="B106" s="340" t="s">
        <v>710</v>
      </c>
      <c r="C106" s="42" t="e">
        <f>Character!H20+(Character!H22+Character!H23)/2</f>
        <v>#VALUE!</v>
      </c>
      <c r="D106" s="42">
        <v>15</v>
      </c>
    </row>
    <row r="107" spans="2:4">
      <c r="B107" s="340" t="s">
        <v>711</v>
      </c>
      <c r="C107" s="42" t="e">
        <f>2*Character!H20+Character!H21</f>
        <v>#VALUE!</v>
      </c>
      <c r="D107" s="42">
        <v>10</v>
      </c>
    </row>
    <row r="108" spans="2:4">
      <c r="B108" s="340" t="s">
        <v>713</v>
      </c>
      <c r="C108" s="42" t="e">
        <f>Character!H20+Character!H22</f>
        <v>#VALUE!</v>
      </c>
      <c r="D108" s="42">
        <v>15</v>
      </c>
    </row>
    <row r="109" spans="2:4">
      <c r="B109" s="340" t="s">
        <v>715</v>
      </c>
      <c r="C109" s="42" t="e">
        <f>(Character!H20+Character!H22)/2+Character!H23</f>
        <v>#VALUE!</v>
      </c>
      <c r="D109" s="42">
        <v>20</v>
      </c>
    </row>
    <row r="110" spans="2:4">
      <c r="B110" s="340" t="s">
        <v>714</v>
      </c>
      <c r="C110" s="42" t="e">
        <f>(Character!H20+Character!H22)/2+Character!H23</f>
        <v>#VALUE!</v>
      </c>
      <c r="D110" s="42">
        <v>30</v>
      </c>
    </row>
    <row r="111" spans="2:4">
      <c r="B111" s="340" t="s">
        <v>716</v>
      </c>
      <c r="C111" s="42" t="e">
        <f>(Character!H20+Character!H22)/2+Character!H23</f>
        <v>#VALUE!</v>
      </c>
      <c r="D111" s="42">
        <v>25</v>
      </c>
    </row>
    <row r="112" spans="2:4">
      <c r="B112" s="340" t="s">
        <v>717</v>
      </c>
      <c r="C112" s="42" t="e">
        <f>Character!H21</f>
        <v>#VALUE!</v>
      </c>
      <c r="D112" s="42">
        <v>20</v>
      </c>
    </row>
    <row r="113" spans="2:4">
      <c r="B113" s="340" t="s">
        <v>745</v>
      </c>
      <c r="C113" s="42" t="e">
        <f>(Character!H22+Character!H23)/2</f>
        <v>#VALUE!</v>
      </c>
      <c r="D113" s="42">
        <v>20</v>
      </c>
    </row>
    <row r="114" spans="2:4">
      <c r="B114" s="340" t="s">
        <v>746</v>
      </c>
      <c r="C114" s="42" t="e">
        <f>(Character!H22+Character!H23)/2</f>
        <v>#VALUE!</v>
      </c>
      <c r="D114" s="42">
        <v>20</v>
      </c>
    </row>
    <row r="115" spans="2:4">
      <c r="B115" s="340" t="s">
        <v>718</v>
      </c>
      <c r="C115" s="42" t="e">
        <f>(Character!H22+Character!H24)/2</f>
        <v>#VALUE!</v>
      </c>
      <c r="D115" s="42">
        <v>20</v>
      </c>
    </row>
    <row r="116" spans="2:4">
      <c r="B116" s="340" t="s">
        <v>719</v>
      </c>
      <c r="C116" s="42" t="e">
        <f>Character!H22+Character!H24</f>
        <v>#VALUE!</v>
      </c>
      <c r="D116" s="42">
        <v>15</v>
      </c>
    </row>
    <row r="117" spans="2:4">
      <c r="B117" s="340" t="s">
        <v>720</v>
      </c>
      <c r="C117" s="42" t="e">
        <f>(Character!H20+Character!H22)/2</f>
        <v>#VALUE!</v>
      </c>
      <c r="D117" s="42">
        <v>25</v>
      </c>
    </row>
    <row r="118" spans="2:4">
      <c r="B118" s="340" t="s">
        <v>721</v>
      </c>
      <c r="C118" s="42" t="e">
        <f>(Character!H20+Character!H22)/2</f>
        <v>#VALUE!</v>
      </c>
      <c r="D118" s="42">
        <v>25</v>
      </c>
    </row>
    <row r="119" spans="2:4">
      <c r="B119" s="340" t="s">
        <v>688</v>
      </c>
      <c r="C119" s="42" t="e">
        <f>(Character!H20+Character!H22)/2</f>
        <v>#VALUE!</v>
      </c>
      <c r="D119" s="42">
        <v>25</v>
      </c>
    </row>
    <row r="120" spans="2:4">
      <c r="B120" s="340" t="s">
        <v>723</v>
      </c>
      <c r="C120" s="42" t="e">
        <f>Character!H20/2</f>
        <v>#VALUE!</v>
      </c>
      <c r="D120" s="42">
        <v>35</v>
      </c>
    </row>
    <row r="121" spans="2:4">
      <c r="B121" s="340" t="s">
        <v>722</v>
      </c>
      <c r="C121" s="42" t="e">
        <f>2*Character!H22</f>
        <v>#VALUE!</v>
      </c>
      <c r="D121" s="42">
        <v>15</v>
      </c>
    </row>
    <row r="122" spans="2:4">
      <c r="B122" s="340" t="s">
        <v>724</v>
      </c>
      <c r="C122" s="42" t="e">
        <f>(Character!H24+Character!H22)/2</f>
        <v>#VALUE!</v>
      </c>
      <c r="D122" s="42">
        <v>20</v>
      </c>
    </row>
    <row r="123" spans="2:4">
      <c r="B123" s="340" t="s">
        <v>725</v>
      </c>
      <c r="C123" s="42" t="e">
        <f>(Character!H22+Character!H23)/2</f>
        <v>#VALUE!</v>
      </c>
      <c r="D123" s="42">
        <v>25</v>
      </c>
    </row>
    <row r="124" spans="2:4">
      <c r="B124" s="340" t="s">
        <v>726</v>
      </c>
      <c r="C124" s="42" t="e">
        <f>2*Character!H20</f>
        <v>#VALUE!</v>
      </c>
      <c r="D124" s="42">
        <v>20</v>
      </c>
    </row>
    <row r="125" spans="2:4">
      <c r="B125" s="340" t="s">
        <v>727</v>
      </c>
      <c r="C125" s="42" t="e">
        <f>Character!H20+(Character!H21+Character!H24)/2</f>
        <v>#VALUE!</v>
      </c>
      <c r="D125" s="42">
        <v>20</v>
      </c>
    </row>
    <row r="126" spans="2:4">
      <c r="B126" s="340" t="s">
        <v>728</v>
      </c>
      <c r="C126" s="42" t="e">
        <f>Character!H19+Character!H20</f>
        <v>#VALUE!</v>
      </c>
      <c r="D126" s="42">
        <v>25</v>
      </c>
    </row>
    <row r="127" spans="2:4">
      <c r="B127" s="340" t="s">
        <v>730</v>
      </c>
      <c r="C127" s="42" t="e">
        <f>Character!H25</f>
        <v>#VALUE!</v>
      </c>
      <c r="D127" s="42">
        <v>20</v>
      </c>
    </row>
    <row r="128" spans="2:4">
      <c r="B128" s="340" t="s">
        <v>729</v>
      </c>
      <c r="C128" s="42" t="e">
        <f>Character!H21</f>
        <v>#VALUE!</v>
      </c>
      <c r="D128" s="42">
        <v>20</v>
      </c>
    </row>
    <row r="129" spans="2:4">
      <c r="B129" s="340" t="s">
        <v>731</v>
      </c>
      <c r="C129" s="42" t="e">
        <f>Character!H20+Character!H22+Character!H23</f>
        <v>#VALUE!</v>
      </c>
      <c r="D129" s="42">
        <v>15</v>
      </c>
    </row>
    <row r="130" spans="2:4">
      <c r="B130" s="340" t="s">
        <v>24</v>
      </c>
      <c r="C130" s="42" t="e">
        <f>2*Character!H22</f>
        <v>#VALUE!</v>
      </c>
      <c r="D130" s="42">
        <v>15</v>
      </c>
    </row>
    <row r="131" spans="2:4">
      <c r="B131" s="340" t="s">
        <v>732</v>
      </c>
      <c r="C131" s="42" t="e">
        <f>ROUND((Character!H19+Character!H22+Character!H24)/3,2)</f>
        <v>#VALUE!</v>
      </c>
      <c r="D131" s="42">
        <v>20</v>
      </c>
    </row>
    <row r="132" spans="2:4">
      <c r="B132" s="340" t="s">
        <v>733</v>
      </c>
      <c r="C132" s="42" t="e">
        <f>Character!H20+Character!H22+Character!H23</f>
        <v>#VALUE!</v>
      </c>
      <c r="D132" s="42">
        <v>20</v>
      </c>
    </row>
    <row r="133" spans="2:4">
      <c r="B133" s="340" t="s">
        <v>734</v>
      </c>
      <c r="C133" s="42" t="e">
        <f>(Character!H23+Character!H24)/2</f>
        <v>#VALUE!</v>
      </c>
      <c r="D133" s="42">
        <v>25</v>
      </c>
    </row>
    <row r="134" spans="2:4">
      <c r="B134" s="340" t="s">
        <v>735</v>
      </c>
      <c r="C134" s="42" t="e">
        <f>(Character!H22+Character!H23)/2&amp;"-(Int+Char) draka"</f>
        <v>#VALUE!</v>
      </c>
      <c r="D134" s="42">
        <v>25</v>
      </c>
    </row>
    <row r="135" spans="2:4">
      <c r="B135" s="47" t="s">
        <v>736</v>
      </c>
      <c r="C135" s="42" t="e">
        <f>(Character!H20+Character!H22)/2</f>
        <v>#VALUE!</v>
      </c>
      <c r="D135" s="352">
        <v>20</v>
      </c>
    </row>
    <row r="136" spans="2:4">
      <c r="B136" s="340" t="s">
        <v>737</v>
      </c>
      <c r="C136" s="42" t="e">
        <f>Character!H23+Character!H24</f>
        <v>#VALUE!</v>
      </c>
      <c r="D136" s="42">
        <v>15</v>
      </c>
    </row>
    <row r="137" spans="2:4">
      <c r="B137" s="340" t="s">
        <v>738</v>
      </c>
      <c r="C137" s="42" t="e">
        <f>Character!H23+Character!H24</f>
        <v>#VALUE!</v>
      </c>
      <c r="D137" s="42">
        <v>25</v>
      </c>
    </row>
    <row r="138" spans="2:4">
      <c r="B138" s="340" t="s">
        <v>739</v>
      </c>
      <c r="C138" s="42" t="e">
        <f>(Character!H20+Character!H22)/4</f>
        <v>#VALUE!</v>
      </c>
      <c r="D138" s="42">
        <v>35</v>
      </c>
    </row>
    <row r="139" spans="2:4">
      <c r="B139" s="340" t="s">
        <v>740</v>
      </c>
      <c r="C139" s="42" t="e">
        <f>(Character!H22+Character!H23)/2</f>
        <v>#VALUE!</v>
      </c>
      <c r="D139" s="42">
        <v>20</v>
      </c>
    </row>
    <row r="140" spans="2:4">
      <c r="B140" s="340" t="s">
        <v>747</v>
      </c>
      <c r="C140" s="42" t="e">
        <f>(Character!H22+Character!H23)/2</f>
        <v>#VALUE!</v>
      </c>
      <c r="D140" s="42">
        <v>25</v>
      </c>
    </row>
    <row r="141" spans="2:4">
      <c r="B141" s="340" t="s">
        <v>748</v>
      </c>
      <c r="C141" s="42" t="e">
        <f>Character!H22+Character!H23</f>
        <v>#VALUE!</v>
      </c>
      <c r="D141" s="42">
        <v>15</v>
      </c>
    </row>
    <row r="142" spans="2:4">
      <c r="B142" s="340" t="s">
        <v>749</v>
      </c>
      <c r="C142" s="42" t="e">
        <f>Character!H22+Character!H23</f>
        <v>#VALUE!</v>
      </c>
      <c r="D142" s="42">
        <v>15</v>
      </c>
    </row>
    <row r="143" spans="2:4">
      <c r="B143" s="340" t="s">
        <v>751</v>
      </c>
      <c r="C143" s="42" t="e">
        <f>Character!H22+Character!H23</f>
        <v>#VALUE!</v>
      </c>
      <c r="D143" s="42">
        <v>15</v>
      </c>
    </row>
    <row r="144" spans="2:4">
      <c r="B144" s="340" t="s">
        <v>750</v>
      </c>
      <c r="C144" s="42" t="e">
        <f>Character!H22+Character!H23</f>
        <v>#VALUE!</v>
      </c>
      <c r="D144" s="42">
        <v>15</v>
      </c>
    </row>
    <row r="145" spans="2:4">
      <c r="B145" s="340" t="s">
        <v>752</v>
      </c>
      <c r="C145" s="42" t="e">
        <f>(Character!H22+Character!H23)/2</f>
        <v>#VALUE!</v>
      </c>
      <c r="D145" s="42">
        <v>20</v>
      </c>
    </row>
    <row r="146" spans="2:4">
      <c r="B146" s="340" t="s">
        <v>753</v>
      </c>
      <c r="C146" s="42" t="e">
        <f>Character!H22+Character!H23</f>
        <v>#VALUE!</v>
      </c>
      <c r="D146" s="42">
        <v>15</v>
      </c>
    </row>
    <row r="147" spans="2:4">
      <c r="B147" s="340" t="s">
        <v>754</v>
      </c>
      <c r="C147" s="42" t="e">
        <f>Character!H22+Character!H23</f>
        <v>#VALUE!</v>
      </c>
      <c r="D147" s="42">
        <v>15</v>
      </c>
    </row>
    <row r="148" spans="2:4">
      <c r="B148" s="340" t="s">
        <v>755</v>
      </c>
      <c r="C148" s="42" t="e">
        <f>Character!H22+Character!H23</f>
        <v>#VALUE!</v>
      </c>
      <c r="D148" s="42">
        <v>15</v>
      </c>
    </row>
    <row r="149" spans="2:4">
      <c r="B149" s="481" t="s">
        <v>884</v>
      </c>
      <c r="C149" s="42" t="e">
        <f>(Character!H22+Character!H23)/4</f>
        <v>#VALUE!</v>
      </c>
      <c r="D149" s="42">
        <v>30</v>
      </c>
    </row>
    <row r="150" spans="2:4">
      <c r="B150" s="481" t="s">
        <v>885</v>
      </c>
      <c r="C150" s="482" t="e">
        <f>(Character!H22+Character!H23)/4</f>
        <v>#VALUE!</v>
      </c>
      <c r="D150" s="482">
        <v>30</v>
      </c>
    </row>
    <row r="151" spans="2:4">
      <c r="B151" s="481" t="s">
        <v>886</v>
      </c>
      <c r="C151" s="482" t="e">
        <f>(Character!H22+Character!H23)/4</f>
        <v>#VALUE!</v>
      </c>
      <c r="D151" s="482">
        <v>30</v>
      </c>
    </row>
    <row r="152" spans="2:4">
      <c r="B152" s="481" t="s">
        <v>887</v>
      </c>
      <c r="C152" s="482" t="e">
        <f>(Character!H22+Character!H23)/4</f>
        <v>#VALUE!</v>
      </c>
      <c r="D152" s="482">
        <v>30</v>
      </c>
    </row>
    <row r="153" spans="2:4">
      <c r="B153" s="481" t="s">
        <v>888</v>
      </c>
      <c r="C153" s="482" t="e">
        <f>(Character!H22+Character!H23)/4</f>
        <v>#VALUE!</v>
      </c>
      <c r="D153" s="482">
        <v>30</v>
      </c>
    </row>
    <row r="154" spans="2:4">
      <c r="B154" s="481" t="s">
        <v>889</v>
      </c>
      <c r="C154" s="482" t="e">
        <f>(Character!H22+Character!H23)/4</f>
        <v>#VALUE!</v>
      </c>
      <c r="D154" s="482">
        <v>30</v>
      </c>
    </row>
    <row r="155" spans="2:4">
      <c r="B155" s="481" t="s">
        <v>890</v>
      </c>
      <c r="C155" s="482" t="e">
        <f>(Character!H22+Character!H23)/4</f>
        <v>#VALUE!</v>
      </c>
      <c r="D155" s="482">
        <v>30</v>
      </c>
    </row>
    <row r="156" spans="2:4">
      <c r="B156" s="481" t="s">
        <v>891</v>
      </c>
      <c r="C156" s="482" t="e">
        <f>(Character!H22+Character!H23)/4</f>
        <v>#VALUE!</v>
      </c>
      <c r="D156" s="482">
        <v>30</v>
      </c>
    </row>
    <row r="157" spans="2:4">
      <c r="B157" s="340" t="s">
        <v>756</v>
      </c>
      <c r="C157" s="42" t="e">
        <f>Character!H22+Character!H23</f>
        <v>#VALUE!</v>
      </c>
      <c r="D157" s="42">
        <v>15</v>
      </c>
    </row>
    <row r="158" spans="2:4">
      <c r="B158" s="340" t="s">
        <v>757</v>
      </c>
      <c r="C158" s="42" t="e">
        <f>Character!H22+Character!H23</f>
        <v>#VALUE!</v>
      </c>
      <c r="D158" s="42">
        <v>15</v>
      </c>
    </row>
    <row r="159" spans="2:4">
      <c r="B159" s="340" t="s">
        <v>758</v>
      </c>
      <c r="C159" s="42" t="e">
        <f>Character!H22+Character!H23</f>
        <v>#VALUE!</v>
      </c>
      <c r="D159" s="42">
        <v>15</v>
      </c>
    </row>
    <row r="160" spans="2:4">
      <c r="B160" s="340" t="s">
        <v>759</v>
      </c>
      <c r="C160" s="42" t="e">
        <f>Character!H22+Character!H23</f>
        <v>#VALUE!</v>
      </c>
      <c r="D160" s="42">
        <v>15</v>
      </c>
    </row>
    <row r="161" spans="2:4">
      <c r="B161" s="348" t="s">
        <v>760</v>
      </c>
      <c r="C161" s="42" t="e">
        <f>Character!H22+2*Character!H23</f>
        <v>#VALUE!</v>
      </c>
      <c r="D161" s="42">
        <v>10</v>
      </c>
    </row>
    <row r="162" spans="2:4">
      <c r="B162" s="349" t="s">
        <v>741</v>
      </c>
      <c r="C162" s="364" t="e">
        <f>ROUND((Character!H20+Character!H21+Character!H22)/3+Character!H24,2)</f>
        <v>#VALUE!</v>
      </c>
      <c r="D162" s="351">
        <v>15</v>
      </c>
    </row>
  </sheetData>
  <sortState ref="B69:D155">
    <sortCondition ref="B155"/>
  </sortState>
  <mergeCells count="65">
    <mergeCell ref="C12:E12"/>
    <mergeCell ref="C13:E13"/>
    <mergeCell ref="B67:D67"/>
    <mergeCell ref="C7:E7"/>
    <mergeCell ref="C8:E8"/>
    <mergeCell ref="C9:E9"/>
    <mergeCell ref="C10:E10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B2:F2"/>
    <mergeCell ref="C3:E3"/>
    <mergeCell ref="C4:E4"/>
    <mergeCell ref="C5:E5"/>
    <mergeCell ref="C6:E6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64:E64"/>
    <mergeCell ref="C65:E65"/>
    <mergeCell ref="C59:E59"/>
    <mergeCell ref="C60:E60"/>
    <mergeCell ref="C61:E61"/>
    <mergeCell ref="C62:E62"/>
    <mergeCell ref="C63:E6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B2:J56"/>
  <sheetViews>
    <sheetView tabSelected="1" workbookViewId="0"/>
  </sheetViews>
  <sheetFormatPr defaultRowHeight="15"/>
  <cols>
    <col min="2" max="2" width="12.28515625" customWidth="1"/>
    <col min="3" max="3" width="133.5703125" customWidth="1"/>
  </cols>
  <sheetData>
    <row r="2" spans="2:5">
      <c r="B2" s="814" t="s">
        <v>547</v>
      </c>
      <c r="C2" s="815"/>
      <c r="D2" s="261"/>
      <c r="E2" s="4"/>
    </row>
    <row r="3" spans="2:5" s="4" customFormat="1">
      <c r="B3" s="811" t="s">
        <v>874</v>
      </c>
      <c r="C3" s="457" t="s">
        <v>875</v>
      </c>
      <c r="D3" s="137"/>
    </row>
    <row r="4" spans="2:5" s="4" customFormat="1">
      <c r="B4" s="812"/>
      <c r="C4" s="457" t="s">
        <v>876</v>
      </c>
      <c r="D4" s="137"/>
    </row>
    <row r="5" spans="2:5" s="4" customFormat="1" ht="30">
      <c r="B5" s="812"/>
      <c r="C5" s="387" t="s">
        <v>880</v>
      </c>
      <c r="D5" s="137"/>
    </row>
    <row r="6" spans="2:5" s="4" customFormat="1">
      <c r="B6" s="812"/>
      <c r="C6" s="457" t="s">
        <v>877</v>
      </c>
      <c r="D6" s="137"/>
    </row>
    <row r="7" spans="2:5" s="4" customFormat="1">
      <c r="B7" s="813"/>
      <c r="C7" s="477" t="s">
        <v>892</v>
      </c>
      <c r="D7" s="137"/>
    </row>
    <row r="8" spans="2:5" s="4" customFormat="1">
      <c r="B8" s="824" t="s">
        <v>867</v>
      </c>
      <c r="C8" s="457" t="s">
        <v>866</v>
      </c>
      <c r="D8" s="137"/>
    </row>
    <row r="9" spans="2:5" s="4" customFormat="1" ht="30.75" customHeight="1">
      <c r="B9" s="825"/>
      <c r="C9" s="425" t="s">
        <v>872</v>
      </c>
      <c r="D9" s="137"/>
    </row>
    <row r="10" spans="2:5" s="4" customFormat="1" ht="30">
      <c r="B10" s="826"/>
      <c r="C10" s="402" t="s">
        <v>868</v>
      </c>
      <c r="D10" s="137"/>
    </row>
    <row r="11" spans="2:5" s="4" customFormat="1" ht="30">
      <c r="B11" s="822" t="s">
        <v>844</v>
      </c>
      <c r="C11" s="425" t="s">
        <v>856</v>
      </c>
      <c r="D11" s="137"/>
    </row>
    <row r="12" spans="2:5" s="4" customFormat="1" ht="30">
      <c r="B12" s="831"/>
      <c r="C12" s="425" t="s">
        <v>857</v>
      </c>
      <c r="D12" s="137"/>
    </row>
    <row r="13" spans="2:5" s="4" customFormat="1">
      <c r="B13" s="831"/>
      <c r="C13" s="425" t="s">
        <v>855</v>
      </c>
      <c r="D13" s="137"/>
    </row>
    <row r="14" spans="2:5" s="4" customFormat="1" ht="30">
      <c r="B14" s="831"/>
      <c r="C14" s="402" t="s">
        <v>859</v>
      </c>
      <c r="D14" s="137"/>
    </row>
    <row r="15" spans="2:5" ht="15" customHeight="1">
      <c r="B15" s="827" t="s">
        <v>814</v>
      </c>
      <c r="C15" s="386" t="s">
        <v>819</v>
      </c>
      <c r="D15" s="137"/>
      <c r="E15" s="4"/>
    </row>
    <row r="16" spans="2:5" ht="15" customHeight="1">
      <c r="B16" s="828"/>
      <c r="C16" s="386" t="s">
        <v>816</v>
      </c>
      <c r="D16" s="137"/>
      <c r="E16" s="4"/>
    </row>
    <row r="17" spans="2:10" s="4" customFormat="1" ht="15" customHeight="1">
      <c r="B17" s="829"/>
      <c r="C17" s="386" t="s">
        <v>820</v>
      </c>
      <c r="D17" s="137"/>
    </row>
    <row r="18" spans="2:10" s="4" customFormat="1" ht="30" customHeight="1">
      <c r="B18" s="830"/>
      <c r="C18" s="388" t="s">
        <v>831</v>
      </c>
      <c r="D18" s="137"/>
    </row>
    <row r="19" spans="2:10" ht="15" customHeight="1">
      <c r="B19" s="824" t="s">
        <v>798</v>
      </c>
      <c r="C19" s="398" t="s">
        <v>803</v>
      </c>
      <c r="E19" s="4"/>
    </row>
    <row r="20" spans="2:10" s="346" customFormat="1" ht="31.5" customHeight="1">
      <c r="B20" s="825"/>
      <c r="C20" s="386" t="s">
        <v>802</v>
      </c>
    </row>
    <row r="21" spans="2:10" ht="45" customHeight="1">
      <c r="B21" s="825"/>
      <c r="C21" s="386" t="s">
        <v>801</v>
      </c>
    </row>
    <row r="22" spans="2:10" ht="15" customHeight="1">
      <c r="B22" s="825"/>
      <c r="C22" s="356" t="s">
        <v>800</v>
      </c>
      <c r="J22" s="4"/>
    </row>
    <row r="23" spans="2:10" ht="15" customHeight="1">
      <c r="B23" s="825"/>
      <c r="C23" s="356" t="s">
        <v>799</v>
      </c>
      <c r="J23" s="4"/>
    </row>
    <row r="24" spans="2:10" ht="15" customHeight="1">
      <c r="B24" s="826"/>
      <c r="C24" s="388" t="s">
        <v>797</v>
      </c>
      <c r="J24" s="4"/>
    </row>
    <row r="25" spans="2:10" ht="15" customHeight="1">
      <c r="B25" s="821" t="s">
        <v>670</v>
      </c>
      <c r="C25" s="385" t="s">
        <v>807</v>
      </c>
      <c r="J25" s="4"/>
    </row>
    <row r="26" spans="2:10" ht="15" customHeight="1">
      <c r="B26" s="822"/>
      <c r="C26" s="386" t="s">
        <v>806</v>
      </c>
    </row>
    <row r="27" spans="2:10" ht="15" customHeight="1">
      <c r="B27" s="822"/>
      <c r="C27" s="386" t="s">
        <v>805</v>
      </c>
      <c r="E27" s="4"/>
    </row>
    <row r="28" spans="2:10" ht="15" customHeight="1">
      <c r="B28" s="823"/>
      <c r="C28" s="388" t="s">
        <v>804</v>
      </c>
      <c r="E28" s="4"/>
    </row>
    <row r="29" spans="2:10" ht="17.25" customHeight="1">
      <c r="B29" s="818" t="s">
        <v>555</v>
      </c>
      <c r="C29" s="383" t="s">
        <v>811</v>
      </c>
      <c r="E29" s="4"/>
    </row>
    <row r="30" spans="2:10" ht="30.75" customHeight="1">
      <c r="B30" s="819"/>
      <c r="C30" s="384" t="s">
        <v>810</v>
      </c>
      <c r="E30" s="4"/>
    </row>
    <row r="31" spans="2:10" ht="15.75" customHeight="1">
      <c r="B31" s="819"/>
      <c r="C31" s="381" t="s">
        <v>809</v>
      </c>
      <c r="E31" s="4"/>
    </row>
    <row r="32" spans="2:10" ht="15" customHeight="1">
      <c r="B32" s="820"/>
      <c r="C32" s="381" t="s">
        <v>808</v>
      </c>
      <c r="E32" s="4"/>
    </row>
    <row r="33" spans="2:7" ht="15" customHeight="1">
      <c r="B33" s="382" t="s">
        <v>553</v>
      </c>
      <c r="C33" s="387" t="s">
        <v>812</v>
      </c>
    </row>
    <row r="34" spans="2:7" ht="15" customHeight="1">
      <c r="B34" s="382" t="s">
        <v>549</v>
      </c>
      <c r="C34" s="387" t="s">
        <v>821</v>
      </c>
    </row>
    <row r="35" spans="2:7" s="4" customFormat="1" ht="15" customHeight="1">
      <c r="B35" s="382" t="s">
        <v>548</v>
      </c>
      <c r="C35" s="387" t="s">
        <v>813</v>
      </c>
    </row>
    <row r="36" spans="2:7" ht="15" customHeight="1">
      <c r="G36" s="4"/>
    </row>
    <row r="37" spans="2:7" ht="15" customHeight="1">
      <c r="B37" s="816" t="s">
        <v>761</v>
      </c>
      <c r="C37" s="817"/>
      <c r="G37" s="4"/>
    </row>
    <row r="38" spans="2:7" ht="15" customHeight="1">
      <c r="B38" s="360" t="s">
        <v>762</v>
      </c>
      <c r="C38" s="54" t="s">
        <v>823</v>
      </c>
    </row>
    <row r="39" spans="2:7" ht="15" customHeight="1">
      <c r="B39" s="359" t="s">
        <v>383</v>
      </c>
      <c r="C39" s="144" t="s">
        <v>822</v>
      </c>
    </row>
    <row r="40" spans="2:7" ht="15" customHeight="1">
      <c r="B40" s="394" t="s">
        <v>386</v>
      </c>
      <c r="C40" s="390" t="s">
        <v>824</v>
      </c>
    </row>
    <row r="41" spans="2:7" ht="15" customHeight="1">
      <c r="B41" s="359" t="s">
        <v>387</v>
      </c>
      <c r="C41" s="390" t="s">
        <v>825</v>
      </c>
    </row>
    <row r="42" spans="2:7" ht="15" customHeight="1">
      <c r="B42" s="347" t="s">
        <v>389</v>
      </c>
      <c r="C42" s="391" t="s">
        <v>826</v>
      </c>
    </row>
    <row r="43" spans="2:7" ht="15" customHeight="1">
      <c r="B43" s="454" t="s">
        <v>599</v>
      </c>
      <c r="C43" s="52" t="s">
        <v>827</v>
      </c>
    </row>
    <row r="44" spans="2:7" ht="15" customHeight="1">
      <c r="B44" s="455" t="s">
        <v>608</v>
      </c>
      <c r="C44" s="50" t="s">
        <v>828</v>
      </c>
    </row>
    <row r="45" spans="2:7" ht="15" customHeight="1">
      <c r="C45" s="476"/>
    </row>
    <row r="46" spans="2:7" ht="15" customHeight="1">
      <c r="B46" s="488"/>
      <c r="C46" s="4" t="s">
        <v>829</v>
      </c>
    </row>
    <row r="47" spans="2:7" ht="15" customHeight="1">
      <c r="B47" s="458"/>
      <c r="C47" s="80" t="s">
        <v>881</v>
      </c>
    </row>
    <row r="48" spans="2:7" ht="15" customHeight="1">
      <c r="B48" s="487"/>
      <c r="C48" s="80" t="s">
        <v>830</v>
      </c>
    </row>
    <row r="49" spans="2:3" ht="15" customHeight="1">
      <c r="B49" s="458"/>
      <c r="C49" s="80"/>
    </row>
    <row r="50" spans="2:3" ht="15" customHeight="1"/>
    <row r="51" spans="2:3" ht="15" customHeight="1"/>
    <row r="52" spans="2:3" ht="15" customHeight="1"/>
    <row r="53" spans="2:3" ht="15" customHeight="1"/>
    <row r="54" spans="2:3" ht="15" customHeight="1"/>
    <row r="55" spans="2:3" ht="15" customHeight="1"/>
    <row r="56" spans="2:3" ht="15" customHeight="1"/>
  </sheetData>
  <mergeCells count="9">
    <mergeCell ref="B3:B7"/>
    <mergeCell ref="B2:C2"/>
    <mergeCell ref="B37:C37"/>
    <mergeCell ref="B29:B32"/>
    <mergeCell ref="B25:B28"/>
    <mergeCell ref="B19:B24"/>
    <mergeCell ref="B15:B18"/>
    <mergeCell ref="B11:B14"/>
    <mergeCell ref="B8:B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FF00"/>
  </sheetPr>
  <dimension ref="A1:AF202"/>
  <sheetViews>
    <sheetView workbookViewId="0"/>
  </sheetViews>
  <sheetFormatPr defaultRowHeight="15"/>
  <cols>
    <col min="1" max="1" width="9.140625" style="4"/>
    <col min="2" max="2" width="13.85546875" customWidth="1"/>
    <col min="3" max="3" width="12.7109375" customWidth="1"/>
    <col min="4" max="4" width="13" customWidth="1"/>
    <col min="5" max="16" width="6.7109375" customWidth="1"/>
    <col min="17" max="19" width="12.7109375" customWidth="1"/>
    <col min="20" max="20" width="9.140625" customWidth="1"/>
    <col min="25" max="25" width="9.140625" style="4"/>
    <col min="27" max="28" width="9.140625" hidden="1" customWidth="1"/>
    <col min="29" max="29" width="9.140625" style="4" hidden="1" customWidth="1"/>
    <col min="30" max="32" width="9.140625" hidden="1" customWidth="1"/>
  </cols>
  <sheetData>
    <row r="1" spans="2:32" s="4" customFormat="1">
      <c r="AA1" s="4" t="e">
        <f t="shared" ref="AA1:AA64" si="0">2+(FLOOR((ROW()+$C$14-1)/$C$14,1)-1)*2</f>
        <v>#VALUE!</v>
      </c>
      <c r="AB1" s="4" t="e">
        <f t="shared" ref="AB1:AB64" si="1">2+(FLOOR((ROW()+$C$15-1)/$C$15,1)-1)*2</f>
        <v>#VALUE!</v>
      </c>
      <c r="AC1" s="4" t="e">
        <f t="shared" ref="AC1:AC64" si="2">2+(FLOOR((ROW()+$C$16-1)/$C$16,1)-1)*2</f>
        <v>#VALUE!</v>
      </c>
      <c r="AD1" s="4" t="e">
        <f>2+MAX(Character!I20,0)</f>
        <v>#VALUE!</v>
      </c>
      <c r="AE1" s="4" t="b">
        <v>0</v>
      </c>
      <c r="AF1" s="4" t="e">
        <f t="shared" ref="AF1:AF10" si="3">IF(OR(RIGHT(B33,LEN(B33)-FIND(" -",B33)-2)="krátké",RIGHT(B33,LEN(B33)-FIND(" -",B33)-2)="tupé"),"lehké",RIGHT(B33,LEN(B33)-FIND(" -",B33)-2))</f>
        <v>#VALUE!</v>
      </c>
    </row>
    <row r="2" spans="2:32">
      <c r="B2" s="597" t="s">
        <v>13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AA2" s="4" t="e">
        <f t="shared" si="0"/>
        <v>#VALUE!</v>
      </c>
      <c r="AB2" s="4" t="e">
        <f t="shared" si="1"/>
        <v>#VALUE!</v>
      </c>
      <c r="AC2" s="4" t="e">
        <f t="shared" si="2"/>
        <v>#VALUE!</v>
      </c>
      <c r="AD2" t="e">
        <f>MATCH("Utužování", Skills!B5:B51,0)+4</f>
        <v>#N/A</v>
      </c>
      <c r="AE2" s="4" t="b">
        <v>1</v>
      </c>
      <c r="AF2" s="4" t="e">
        <f t="shared" si="3"/>
        <v>#VALUE!</v>
      </c>
    </row>
    <row r="3" spans="2:32">
      <c r="B3" s="604" t="s">
        <v>28</v>
      </c>
      <c r="C3" s="604" t="s">
        <v>69</v>
      </c>
      <c r="D3" s="605" t="s">
        <v>546</v>
      </c>
      <c r="E3" s="606"/>
      <c r="F3" s="606"/>
      <c r="G3" s="606"/>
      <c r="H3" s="606"/>
      <c r="I3" s="606"/>
      <c r="J3" s="606"/>
      <c r="K3" s="606"/>
      <c r="L3" s="607"/>
      <c r="M3" s="603" t="s">
        <v>29</v>
      </c>
      <c r="N3" s="603"/>
      <c r="O3" s="306"/>
      <c r="P3" s="227"/>
      <c r="Q3" s="227"/>
      <c r="R3" s="227"/>
      <c r="AA3" s="4" t="e">
        <f t="shared" si="0"/>
        <v>#VALUE!</v>
      </c>
      <c r="AB3" s="4" t="e">
        <f t="shared" si="1"/>
        <v>#VALUE!</v>
      </c>
      <c r="AC3" s="4" t="e">
        <f t="shared" si="2"/>
        <v>#VALUE!</v>
      </c>
      <c r="AE3" s="285" t="e">
        <f>IF(B33="Nože","Nože",LEFT(B33,FIND(" -",B33)-1))</f>
        <v>#VALUE!</v>
      </c>
      <c r="AF3" s="4" t="e">
        <f t="shared" si="3"/>
        <v>#VALUE!</v>
      </c>
    </row>
    <row r="4" spans="2:32">
      <c r="B4" s="604"/>
      <c r="C4" s="604"/>
      <c r="D4" s="169" t="s">
        <v>545</v>
      </c>
      <c r="E4" s="601" t="s">
        <v>18</v>
      </c>
      <c r="F4" s="601"/>
      <c r="G4" s="601" t="s">
        <v>544</v>
      </c>
      <c r="H4" s="601"/>
      <c r="I4" s="601" t="s">
        <v>543</v>
      </c>
      <c r="J4" s="601"/>
      <c r="K4" s="601" t="s">
        <v>542</v>
      </c>
      <c r="L4" s="602"/>
      <c r="M4" s="603"/>
      <c r="N4" s="603"/>
      <c r="O4" s="307" t="str">
        <f ca="1">IF(M5&lt;0,"Nelze utratit víc DB než je k dispozici!","")</f>
        <v/>
      </c>
      <c r="P4" s="305"/>
      <c r="Q4" s="137"/>
      <c r="R4" s="137"/>
      <c r="AA4" s="4" t="e">
        <f t="shared" si="0"/>
        <v>#VALUE!</v>
      </c>
      <c r="AB4" s="4" t="e">
        <f t="shared" si="1"/>
        <v>#VALUE!</v>
      </c>
      <c r="AC4" s="4" t="e">
        <f t="shared" si="2"/>
        <v>#VALUE!</v>
      </c>
      <c r="AE4" s="286" t="e">
        <f t="shared" ref="AE4:AE12" si="4">IF(B34="Nože","Nože",LEFT(B34,FIND(" -",B34)-1))</f>
        <v>#VALUE!</v>
      </c>
      <c r="AF4" s="4" t="e">
        <f t="shared" si="3"/>
        <v>#VALUE!</v>
      </c>
    </row>
    <row r="5" spans="2:32">
      <c r="B5" s="334">
        <v>0</v>
      </c>
      <c r="C5" s="335">
        <v>0</v>
      </c>
      <c r="D5" s="303">
        <f ca="1">SUM(Character!G19:G24)</f>
        <v>0</v>
      </c>
      <c r="E5" s="598">
        <f ca="1">O20+SUM(G14:H16)+SUM(O9:P10)+D20+SUM(R25:R31)+SUM(R33:R42)+SUM(R44:R53)+D58+O57</f>
        <v>0</v>
      </c>
      <c r="F5" s="598"/>
      <c r="G5" s="598">
        <f>SUM(Skills!G5:G51)</f>
        <v>0</v>
      </c>
      <c r="H5" s="598"/>
      <c r="I5" s="599">
        <f ca="1">Magic!D4+Magic!E9+SUM(Magic!F13:F19)+Magic!K14+SUM(Spells!K4:K54)+Magic!J18</f>
        <v>0</v>
      </c>
      <c r="J5" s="599"/>
      <c r="K5" s="598">
        <f>SUM(Other!G14:G19)</f>
        <v>0</v>
      </c>
      <c r="L5" s="598"/>
      <c r="M5" s="600">
        <f ca="1">B5+C5-D5-E5-G5-I5-K5</f>
        <v>0</v>
      </c>
      <c r="N5" s="600"/>
      <c r="AA5" s="4" t="e">
        <f t="shared" si="0"/>
        <v>#VALUE!</v>
      </c>
      <c r="AB5" s="4" t="e">
        <f t="shared" si="1"/>
        <v>#VALUE!</v>
      </c>
      <c r="AC5" s="4" t="e">
        <f t="shared" si="2"/>
        <v>#VALUE!</v>
      </c>
      <c r="AE5" s="286" t="e">
        <f t="shared" si="4"/>
        <v>#VALUE!</v>
      </c>
      <c r="AF5" s="4" t="e">
        <f t="shared" si="3"/>
        <v>#VALUE!</v>
      </c>
    </row>
    <row r="6" spans="2:32">
      <c r="B6" s="4"/>
      <c r="R6" s="4"/>
      <c r="AA6" s="4" t="e">
        <f t="shared" si="0"/>
        <v>#VALUE!</v>
      </c>
      <c r="AB6" s="4" t="e">
        <f t="shared" si="1"/>
        <v>#VALUE!</v>
      </c>
      <c r="AC6" s="4" t="e">
        <f t="shared" si="2"/>
        <v>#VALUE!</v>
      </c>
      <c r="AE6" s="286" t="e">
        <f t="shared" si="4"/>
        <v>#VALUE!</v>
      </c>
      <c r="AF6" s="4" t="e">
        <f t="shared" si="3"/>
        <v>#VALUE!</v>
      </c>
    </row>
    <row r="7" spans="2:32">
      <c r="B7" s="520" t="s">
        <v>42</v>
      </c>
      <c r="C7" s="521"/>
      <c r="D7" s="521"/>
      <c r="E7" s="521"/>
      <c r="F7" s="522"/>
      <c r="I7" s="520" t="s">
        <v>58</v>
      </c>
      <c r="J7" s="521"/>
      <c r="K7" s="521"/>
      <c r="L7" s="521"/>
      <c r="M7" s="521"/>
      <c r="N7" s="521"/>
      <c r="O7" s="521"/>
      <c r="P7" s="522"/>
      <c r="AA7" s="4" t="e">
        <f t="shared" si="0"/>
        <v>#VALUE!</v>
      </c>
      <c r="AB7" s="4" t="e">
        <f t="shared" si="1"/>
        <v>#VALUE!</v>
      </c>
      <c r="AC7" s="4" t="e">
        <f t="shared" si="2"/>
        <v>#VALUE!</v>
      </c>
      <c r="AE7" s="286" t="e">
        <f t="shared" si="4"/>
        <v>#VALUE!</v>
      </c>
      <c r="AF7" s="4" t="e">
        <f t="shared" si="3"/>
        <v>#VALUE!</v>
      </c>
    </row>
    <row r="8" spans="2:32">
      <c r="B8" s="136" t="s">
        <v>43</v>
      </c>
      <c r="C8" s="314" t="s">
        <v>44</v>
      </c>
      <c r="D8" s="523" t="s">
        <v>40</v>
      </c>
      <c r="E8" s="538"/>
      <c r="F8" s="524"/>
      <c r="G8" s="4"/>
      <c r="H8" s="4"/>
      <c r="I8" s="544"/>
      <c r="J8" s="544"/>
      <c r="K8" s="545" t="s">
        <v>59</v>
      </c>
      <c r="L8" s="545"/>
      <c r="M8" s="544" t="s">
        <v>336</v>
      </c>
      <c r="N8" s="544"/>
      <c r="O8" s="544" t="s">
        <v>50</v>
      </c>
      <c r="P8" s="544"/>
      <c r="Q8" s="4"/>
      <c r="AA8" s="4" t="e">
        <f t="shared" si="0"/>
        <v>#VALUE!</v>
      </c>
      <c r="AB8" s="4" t="e">
        <f t="shared" si="1"/>
        <v>#VALUE!</v>
      </c>
      <c r="AC8" s="4" t="e">
        <f t="shared" si="2"/>
        <v>#VALUE!</v>
      </c>
      <c r="AD8" s="182" t="s">
        <v>297</v>
      </c>
      <c r="AE8" s="286" t="e">
        <f t="shared" si="4"/>
        <v>#VALUE!</v>
      </c>
      <c r="AF8" s="4" t="e">
        <f t="shared" si="3"/>
        <v>#VALUE!</v>
      </c>
    </row>
    <row r="9" spans="2:32" s="4" customFormat="1">
      <c r="B9" s="151" t="e">
        <f ca="1">(2*Character!H21+Character!H24)*(1 + IF(TYPE(AD2)&lt;&gt;16, (INDIRECT("Skills!C"&amp;AD2)+INDIRECT("Skills!H"&amp;AD2)+IF(Character!C4="Člověk",1.5*INDIRECT("Skills!E"&amp;AD2),INDIRECT("Skills!E"&amp;AD2))+I5)/IF(TYPE(MATCH("Nenávist bohů",Character!D11:D15,0))&lt;&gt;16,2,1)/100, 0))</f>
        <v>#VALUE!</v>
      </c>
      <c r="C9" s="152">
        <v>60</v>
      </c>
      <c r="D9" s="539" t="e">
        <f ca="1">IF($C$9&gt;2*$B$9/3,"OK",IF($C$9&gt;$B$9/2,"Mírně unavená",IF($C$9&gt;$B$9/3,"Unavená",IF($C$9&gt;$B$9/6,"Silně unavená",IF($C$9&lt;&gt;0,"Vyčerpaná","Grogy")))))</f>
        <v>#VALUE!</v>
      </c>
      <c r="E9" s="540"/>
      <c r="F9" s="541"/>
      <c r="I9" s="542" t="s">
        <v>63</v>
      </c>
      <c r="J9" s="543"/>
      <c r="K9" s="546">
        <v>0</v>
      </c>
      <c r="L9" s="547"/>
      <c r="M9" s="525">
        <f>IF(K9=5,"-----",(K9+1)*10-IF(Character!C4="Amazonka",2,0))</f>
        <v>10</v>
      </c>
      <c r="N9" s="526"/>
      <c r="O9" s="525">
        <f>K9*(10-IF(Character!C4="Amazonka",2,0)+K9 * 10-IF(Character!C4="Amazonka",2,0))/2</f>
        <v>0</v>
      </c>
      <c r="P9" s="526"/>
      <c r="AA9" s="4" t="e">
        <f t="shared" si="0"/>
        <v>#VALUE!</v>
      </c>
      <c r="AB9" s="4" t="e">
        <f t="shared" si="1"/>
        <v>#VALUE!</v>
      </c>
      <c r="AC9" s="4" t="e">
        <f t="shared" si="2"/>
        <v>#VALUE!</v>
      </c>
      <c r="AD9" s="171" t="s">
        <v>315</v>
      </c>
      <c r="AE9" s="286" t="e">
        <f t="shared" si="4"/>
        <v>#VALUE!</v>
      </c>
      <c r="AF9" s="4" t="e">
        <f t="shared" si="3"/>
        <v>#VALUE!</v>
      </c>
    </row>
    <row r="10" spans="2:32">
      <c r="B10" s="148" t="s">
        <v>45</v>
      </c>
      <c r="C10" s="149" t="e">
        <f ca="1">($B$9-$C$9)/($B$9/10)</f>
        <v>#VALUE!</v>
      </c>
      <c r="D10" s="533" t="s">
        <v>46</v>
      </c>
      <c r="E10" s="533"/>
      <c r="F10" s="534"/>
      <c r="G10" s="4"/>
      <c r="H10" s="4"/>
      <c r="I10" s="535" t="s">
        <v>61</v>
      </c>
      <c r="J10" s="535"/>
      <c r="K10" s="536">
        <v>0</v>
      </c>
      <c r="L10" s="536"/>
      <c r="M10" s="537">
        <f>IF(K10=5,"-----",MAX(1,IF(K9&gt;=K10+1,FLOOR(5*(K10+1)/2,1),5*(K10+1))-IF(Character!C4="Amazonka",2,0)))</f>
        <v>5</v>
      </c>
      <c r="N10" s="537"/>
      <c r="O10" s="536">
        <v>0</v>
      </c>
      <c r="P10" s="536"/>
      <c r="Q10" s="4"/>
      <c r="AA10" s="4" t="e">
        <f t="shared" si="0"/>
        <v>#VALUE!</v>
      </c>
      <c r="AB10" s="4" t="e">
        <f t="shared" si="1"/>
        <v>#VALUE!</v>
      </c>
      <c r="AC10" s="4" t="e">
        <f t="shared" si="2"/>
        <v>#VALUE!</v>
      </c>
      <c r="AD10" s="171" t="s">
        <v>322</v>
      </c>
      <c r="AE10" s="286" t="e">
        <f t="shared" si="4"/>
        <v>#VALUE!</v>
      </c>
      <c r="AF10" s="4" t="e">
        <f t="shared" si="3"/>
        <v>#VALUE!</v>
      </c>
    </row>
    <row r="11" spans="2:32">
      <c r="B11" s="4"/>
      <c r="C11" s="4"/>
      <c r="D11" s="4"/>
      <c r="E11" s="4"/>
      <c r="F11" s="147"/>
      <c r="G11" s="147"/>
      <c r="H11" s="4"/>
      <c r="I11" s="147"/>
      <c r="J11" s="4"/>
      <c r="K11" s="4"/>
      <c r="L11" s="4"/>
      <c r="M11" s="4"/>
      <c r="N11" s="4"/>
      <c r="O11" s="4"/>
      <c r="P11" s="4"/>
      <c r="Q11" s="4"/>
      <c r="AA11" s="4" t="e">
        <f t="shared" si="0"/>
        <v>#VALUE!</v>
      </c>
      <c r="AB11" s="4" t="e">
        <f t="shared" si="1"/>
        <v>#VALUE!</v>
      </c>
      <c r="AC11" s="4" t="e">
        <f t="shared" si="2"/>
        <v>#VALUE!</v>
      </c>
      <c r="AD11" s="171" t="s">
        <v>321</v>
      </c>
      <c r="AE11" s="286" t="e">
        <f t="shared" si="4"/>
        <v>#VALUE!</v>
      </c>
      <c r="AF11" s="4">
        <v>0</v>
      </c>
    </row>
    <row r="12" spans="2:32">
      <c r="B12" s="520" t="s">
        <v>25</v>
      </c>
      <c r="C12" s="521"/>
      <c r="D12" s="521"/>
      <c r="E12" s="521"/>
      <c r="F12" s="521"/>
      <c r="G12" s="521"/>
      <c r="H12" s="521"/>
      <c r="I12" s="521"/>
      <c r="J12" s="521"/>
      <c r="K12" s="521"/>
      <c r="L12" s="522"/>
      <c r="M12" s="4"/>
      <c r="N12" s="4"/>
      <c r="O12" s="4"/>
      <c r="P12" s="4"/>
      <c r="Q12" s="4"/>
      <c r="R12" s="102"/>
      <c r="AA12" s="4" t="e">
        <f t="shared" si="0"/>
        <v>#VALUE!</v>
      </c>
      <c r="AB12" s="4" t="e">
        <f t="shared" si="1"/>
        <v>#VALUE!</v>
      </c>
      <c r="AC12" s="4" t="e">
        <f t="shared" si="2"/>
        <v>#VALUE!</v>
      </c>
      <c r="AD12" s="171" t="s">
        <v>320</v>
      </c>
      <c r="AE12" s="286" t="e">
        <f t="shared" si="4"/>
        <v>#VALUE!</v>
      </c>
      <c r="AF12">
        <v>1</v>
      </c>
    </row>
    <row r="13" spans="2:32">
      <c r="B13" s="136" t="s">
        <v>48</v>
      </c>
      <c r="C13" s="136" t="s">
        <v>28</v>
      </c>
      <c r="D13" s="314" t="s">
        <v>49</v>
      </c>
      <c r="E13" s="523" t="s">
        <v>336</v>
      </c>
      <c r="F13" s="524"/>
      <c r="G13" s="523" t="s">
        <v>50</v>
      </c>
      <c r="H13" s="524"/>
      <c r="I13" s="523" t="s">
        <v>374</v>
      </c>
      <c r="J13" s="524"/>
      <c r="K13" s="529" t="s">
        <v>29</v>
      </c>
      <c r="L13" s="530"/>
      <c r="M13" s="4"/>
      <c r="N13" s="4"/>
      <c r="O13" s="520" t="s">
        <v>62</v>
      </c>
      <c r="P13" s="521"/>
      <c r="Q13" s="522"/>
      <c r="R13" s="227"/>
      <c r="AA13" s="4" t="e">
        <f t="shared" si="0"/>
        <v>#VALUE!</v>
      </c>
      <c r="AB13" s="4" t="e">
        <f t="shared" si="1"/>
        <v>#VALUE!</v>
      </c>
      <c r="AC13" s="4" t="e">
        <f t="shared" si="2"/>
        <v>#VALUE!</v>
      </c>
      <c r="AD13" s="171" t="s">
        <v>319</v>
      </c>
      <c r="AE13" s="11">
        <f ca="1">IF(TYPE(MATCH(AE3,AE4:AE$12,0))&lt;&gt;16,MAX(INDIRECT("F"&amp;MATCH(AE3,AE4:AE$12,0)+33),IF(TYPE(MATCH(AE3,INDIRECT("AE"&amp;MATCH(AE3,AE4:AE$12,0)+4):AE$12,0))&lt;&gt;16,INDIRECT("F"&amp;MATCH(AE3,INDIRECT("AE"&amp;MATCH(AE3,AE4:AE$12,0)+4):AE$12,0)+33+MATCH(AE3,AE4:AE$12,0)),0)),0)</f>
        <v>0</v>
      </c>
      <c r="AF13">
        <v>2</v>
      </c>
    </row>
    <row r="14" spans="2:32">
      <c r="B14" s="144" t="s">
        <v>26</v>
      </c>
      <c r="C14" s="153" t="e">
        <f>FLOOR((Character!$H$19+Character!$H$20)/10, 1)</f>
        <v>#VALUE!</v>
      </c>
      <c r="D14" s="154">
        <v>0</v>
      </c>
      <c r="E14" s="527" t="e">
        <f>2+(FLOOR((D14+C14)/C14,1)-1)*2</f>
        <v>#VALUE!</v>
      </c>
      <c r="F14" s="528"/>
      <c r="G14" s="527">
        <f ca="1">IF($D14=0,0,SUM(AA$1:INDIRECT("AA"&amp;$D14)))</f>
        <v>0</v>
      </c>
      <c r="H14" s="528"/>
      <c r="I14" s="576">
        <f>IF(TYPE(MATCH("Akční hoch",Character!D11:D15,0))&lt;&gt;16,3,0)-IF(TYPE(MATCH("Želva",Character!D11:D15,0))&lt;&gt;16,3,0)</f>
        <v>0</v>
      </c>
      <c r="J14" s="577"/>
      <c r="K14" s="580" t="e">
        <f>C14+D14+I14</f>
        <v>#VALUE!</v>
      </c>
      <c r="L14" s="581"/>
      <c r="M14" s="4"/>
      <c r="N14" s="4"/>
      <c r="O14" s="523" t="s">
        <v>64</v>
      </c>
      <c r="P14" s="524"/>
      <c r="Q14" s="320" t="s">
        <v>65</v>
      </c>
      <c r="R14" s="137"/>
      <c r="AA14" s="4" t="e">
        <f t="shared" si="0"/>
        <v>#VALUE!</v>
      </c>
      <c r="AB14" s="4" t="e">
        <f t="shared" si="1"/>
        <v>#VALUE!</v>
      </c>
      <c r="AC14" s="4" t="e">
        <f t="shared" si="2"/>
        <v>#VALUE!</v>
      </c>
      <c r="AD14" s="171" t="s">
        <v>318</v>
      </c>
      <c r="AE14" s="283">
        <f ca="1">MAX(IF(TYPE(MATCH(AE4,AE$3:AE3,0))&lt;&gt;16,MAX(INDIRECT("F"&amp;MATCH(AE4,AE$3:AE3,0)+32),IF(TYPE(MATCH(AE4,INDIRECT("AE"&amp;MATCH(AE4,AE$3:AE3,0)+3):AE3,0))&lt;&gt;16,INDIRECT("F"&amp;MATCH(AE4,INDIRECT("AE"&amp;MATCH(AE4,AE$3:AE3,0)+3):AE3,0)+32+MATCH(AE4,AE$3:AE3,0)),0)),0),IF(TYPE(MATCH(AE4,AE5:AE$12,0))&lt;&gt;16,MAX(INDIRECT("F"&amp;MATCH(AE4,AE5:AE$12,0)+34),IF(TYPE(MATCH(AE4,INDIRECT("AE"&amp;MATCH(AE4,AE5:AE$12,0)+5):AE$12,0))&lt;&gt;16,INDIRECT("F"&amp;MATCH(AE4,INDIRECT("AE"&amp;MATCH(AE4,AE5:AE$12,0)+5):AE$12,0)+34+MATCH(AE4,AE5:AE$12,0)),0)),0))</f>
        <v>0</v>
      </c>
      <c r="AF14" s="4">
        <v>3</v>
      </c>
    </row>
    <row r="15" spans="2:32">
      <c r="B15" s="144" t="s">
        <v>47</v>
      </c>
      <c r="C15" s="153" t="e">
        <f>FLOOR((Character!$H$20+Character!$H$22)/10,1)</f>
        <v>#VALUE!</v>
      </c>
      <c r="D15" s="154">
        <v>0</v>
      </c>
      <c r="E15" s="525" t="e">
        <f>2+(FLOOR((D15+C15)/C15,1)-1)*2</f>
        <v>#VALUE!</v>
      </c>
      <c r="F15" s="526"/>
      <c r="G15" s="525">
        <f ca="1">IF($D15=0,0,SUM(AB$1:INDIRECT("AB"&amp;$D15)))</f>
        <v>0</v>
      </c>
      <c r="H15" s="526"/>
      <c r="I15" s="578">
        <f>IF(TYPE(MATCH("Akční hoch",Character!D11:D15,0))&lt;&gt;16,3,0)-IF(TYPE(MATCH("Želva",Character!D11:D15,0))&lt;&gt;16,3,0)</f>
        <v>0</v>
      </c>
      <c r="J15" s="579"/>
      <c r="K15" s="531" t="e">
        <f>C15+D15+I15</f>
        <v>#VALUE!</v>
      </c>
      <c r="L15" s="532"/>
      <c r="M15" s="4"/>
      <c r="N15" s="4"/>
      <c r="O15" s="539" t="e">
        <f>Character!H21+MAX(Character!I19,0)+IF(Character!C4="Troll",5,0)</f>
        <v>#VALUE!</v>
      </c>
      <c r="P15" s="541"/>
      <c r="Q15" s="151" t="e">
        <f>FLOOR(O15/2, 1)</f>
        <v>#VALUE!</v>
      </c>
      <c r="AA15" s="4" t="e">
        <f t="shared" si="0"/>
        <v>#VALUE!</v>
      </c>
      <c r="AB15" s="4" t="e">
        <f t="shared" si="1"/>
        <v>#VALUE!</v>
      </c>
      <c r="AC15" s="4" t="e">
        <f t="shared" si="2"/>
        <v>#VALUE!</v>
      </c>
      <c r="AD15" s="171" t="s">
        <v>317</v>
      </c>
      <c r="AE15" s="283">
        <f ca="1">MAX(IF(TYPE(MATCH(AE5,AE$3:AE4,0))&lt;&gt;16,MAX(INDIRECT("F"&amp;MATCH(AE5,AE$3:AE4,0)+32),IF(TYPE(MATCH(AE5,INDIRECT("AE"&amp;MATCH(AE5,AE$3:AE4,0)+3):AE4,0))&lt;&gt;16,INDIRECT("F"&amp;MATCH(AE5,INDIRECT("AE"&amp;MATCH(AE5,AE$3:AE4,0)+3):AE4,0)+32+MATCH(AE5,AE$3:AE4,0)),0)),0),IF(TYPE(MATCH(AE5,AE6:AE$12,0))&lt;&gt;16,MAX(INDIRECT("F"&amp;MATCH(AE5,AE6:AE$12,0)+35),IF(TYPE(MATCH(AE5,INDIRECT("AE"&amp;MATCH(AE5,AE6:AE$12,0)+6):AE$12,0))&lt;&gt;16,INDIRECT("F"&amp;MATCH(AE5,INDIRECT("AE"&amp;MATCH(AE5,AE6:AE$12,0)+6):AE$12,0)+35+MATCH(AE5,AE6:AE$12,0)),0)),0))</f>
        <v>0</v>
      </c>
      <c r="AF15" s="4">
        <v>4</v>
      </c>
    </row>
    <row r="16" spans="2:32">
      <c r="B16" s="145" t="s">
        <v>27</v>
      </c>
      <c r="C16" s="150" t="e">
        <f>FLOOR((Character!$H$22+Character!$H$24)/10, 1)</f>
        <v>#VALUE!</v>
      </c>
      <c r="D16" s="155">
        <v>0</v>
      </c>
      <c r="E16" s="570" t="e">
        <f>2+(FLOOR((D16+C16)/C16,1)-1)*2</f>
        <v>#VALUE!</v>
      </c>
      <c r="F16" s="571"/>
      <c r="G16" s="570">
        <f ca="1">IF($D16=0,0,SUM(AC$1:INDIRECT("AC"&amp;$D16)))</f>
        <v>0</v>
      </c>
      <c r="H16" s="571"/>
      <c r="I16" s="584">
        <f>IF(TYPE(MATCH("Akční hoch",Character!D11:D15,0))&lt;&gt;16,3,0)-IF(TYPE(MATCH("Želva",Character!D11:D15,0))&lt;&gt;16,3,0)</f>
        <v>0</v>
      </c>
      <c r="J16" s="585"/>
      <c r="K16" s="582" t="e">
        <f>C16+D16+I16</f>
        <v>#VALUE!</v>
      </c>
      <c r="L16" s="583"/>
      <c r="M16" s="4"/>
      <c r="N16" s="4"/>
      <c r="O16" s="4"/>
      <c r="P16" s="4"/>
      <c r="Q16" s="4"/>
      <c r="AA16" s="4" t="e">
        <f t="shared" si="0"/>
        <v>#VALUE!</v>
      </c>
      <c r="AB16" s="4" t="e">
        <f t="shared" si="1"/>
        <v>#VALUE!</v>
      </c>
      <c r="AC16" s="4" t="e">
        <f t="shared" si="2"/>
        <v>#VALUE!</v>
      </c>
      <c r="AD16" s="171" t="s">
        <v>316</v>
      </c>
      <c r="AE16" s="283">
        <f ca="1">MAX(IF(TYPE(MATCH(AE6,AE$3:AE5,0))&lt;&gt;16,MAX(INDIRECT("F"&amp;MATCH(AE6,AE$3:AE5,0)+32),IF(TYPE(MATCH(AE6,INDIRECT("AE"&amp;MATCH(AE6,AE$3:AE5,0)+3):AE5,0))&lt;&gt;16,INDIRECT("F"&amp;MATCH(AE6,INDIRECT("AE"&amp;MATCH(AE6,AE$3:AE5,0)+3):AE5,0)+32+MATCH(AE6,AE$3:AE5,0)),0)),0),IF(TYPE(MATCH(AE6,AE7:AE$12,0))&lt;&gt;16,MAX(INDIRECT("F"&amp;MATCH(AE6,AE7:AE$12,0)+36),IF(TYPE(MATCH(AE6,INDIRECT("AE"&amp;MATCH(AE6,AE7:AE$12,0)+7):AE$12,0))&lt;&gt;16,INDIRECT("F"&amp;MATCH(AE6,INDIRECT("AE"&amp;MATCH(AE6,AE7:AE$12,0)+7):AE$12,0)+36+MATCH(AE6,AE7:AE$12,0)),0)),0))</f>
        <v>0</v>
      </c>
      <c r="AF16" s="4">
        <v>5</v>
      </c>
    </row>
    <row r="17" spans="2:32">
      <c r="F17" s="123"/>
      <c r="G17" s="102"/>
      <c r="H17" s="102"/>
      <c r="AA17" s="4" t="e">
        <f t="shared" si="0"/>
        <v>#VALUE!</v>
      </c>
      <c r="AB17" s="4" t="e">
        <f t="shared" si="1"/>
        <v>#VALUE!</v>
      </c>
      <c r="AC17" s="4" t="e">
        <f t="shared" si="2"/>
        <v>#VALUE!</v>
      </c>
      <c r="AD17" s="171" t="s">
        <v>323</v>
      </c>
      <c r="AE17" s="283">
        <f ca="1">MAX(IF(TYPE(MATCH(AE7,AE$3:AE6,0))&lt;&gt;16,MAX(INDIRECT("F"&amp;MATCH(AE7,AE$3:AE6,0)+32),IF(TYPE(MATCH(AE7,INDIRECT("AE"&amp;MATCH(AE7,AE$3:AE6,0)+3):AE6,0))&lt;&gt;16,INDIRECT("F"&amp;MATCH(AE7,INDIRECT("AE"&amp;MATCH(AE7,AE$3:AE6,0)+3):AE6,0)+32+MATCH(AE7,AE$3:AE6,0)),0)),0),IF(TYPE(MATCH(AE7,AE8:AE$12,0))&lt;&gt;16,MAX(INDIRECT("F"&amp;MATCH(AE7,AE8:AE$12,0)+37),IF(TYPE(MATCH(AE7,INDIRECT("AE"&amp;MATCH(AE7,AE8:AE$12,0)+8):AE$12,0))&lt;&gt;16,INDIRECT("F"&amp;MATCH(AE7,INDIRECT("AE"&amp;MATCH(AE7,AE8:AE$12,0)+8):AE$12,0)+37+MATCH(AE7,AE8:AE$12,0)),0)),0))</f>
        <v>0</v>
      </c>
      <c r="AF17" s="4">
        <v>6</v>
      </c>
    </row>
    <row r="18" spans="2:32">
      <c r="B18" s="520" t="s">
        <v>423</v>
      </c>
      <c r="C18" s="521"/>
      <c r="D18" s="521"/>
      <c r="E18" s="521"/>
      <c r="F18" s="521"/>
      <c r="G18" s="521"/>
      <c r="H18" s="522"/>
      <c r="I18" s="102"/>
      <c r="J18" s="330"/>
      <c r="K18" s="572" t="s">
        <v>431</v>
      </c>
      <c r="L18" s="573"/>
      <c r="M18" s="573"/>
      <c r="N18" s="573"/>
      <c r="O18" s="573"/>
      <c r="P18" s="573"/>
      <c r="Q18" s="573"/>
      <c r="R18" s="331"/>
      <c r="AA18" s="4" t="e">
        <f t="shared" si="0"/>
        <v>#VALUE!</v>
      </c>
      <c r="AB18" s="4" t="e">
        <f t="shared" si="1"/>
        <v>#VALUE!</v>
      </c>
      <c r="AC18" s="4" t="e">
        <f t="shared" si="2"/>
        <v>#VALUE!</v>
      </c>
      <c r="AD18" s="171" t="s">
        <v>324</v>
      </c>
      <c r="AE18" s="283">
        <f ca="1">MAX(IF(TYPE(MATCH(AE8,AE$3:AE7,0))&lt;&gt;16,MAX(INDIRECT("F"&amp;MATCH(AE8,AE$3:AE7,0)+32),IF(TYPE(MATCH(AE8,INDIRECT("AE"&amp;MATCH(AE8,AE$3:AE7,0)+3):AE7,0))&lt;&gt;16,INDIRECT("F"&amp;MATCH(AE8,INDIRECT("AE"&amp;MATCH(AE8,AE$3:AE7,0)+3):AE7,0)+32+MATCH(AE8,AE$3:AE7,0)),0)),0),IF(TYPE(MATCH(AE8,AE9:AE$12,0))&lt;&gt;16,MAX(INDIRECT("F"&amp;MATCH(AE8,AE9:AE$12,0)+38),IF(TYPE(MATCH(AE8,INDIRECT("AE"&amp;MATCH(AE8,AE9:AE$12,0)+9):AE$12,0))&lt;&gt;16,INDIRECT("F"&amp;MATCH(AE8,INDIRECT("AE"&amp;MATCH(AE8,AE9:AE$12,0)+9):AE$12,0)+38+MATCH(AE8,AE9:AE$12,0)),0)),0))</f>
        <v>0</v>
      </c>
      <c r="AF18" s="4">
        <v>7</v>
      </c>
    </row>
    <row r="19" spans="2:32">
      <c r="B19" s="328" t="s">
        <v>424</v>
      </c>
      <c r="C19" s="316" t="s">
        <v>425</v>
      </c>
      <c r="D19" s="316" t="s">
        <v>50</v>
      </c>
      <c r="E19" s="549" t="s">
        <v>426</v>
      </c>
      <c r="F19" s="575"/>
      <c r="G19" s="549" t="s">
        <v>285</v>
      </c>
      <c r="H19" s="550"/>
      <c r="K19" s="566" t="s">
        <v>49</v>
      </c>
      <c r="L19" s="567"/>
      <c r="M19" s="549" t="s">
        <v>336</v>
      </c>
      <c r="N19" s="550"/>
      <c r="O19" s="549" t="s">
        <v>50</v>
      </c>
      <c r="P19" s="550"/>
      <c r="Q19" s="443" t="s">
        <v>865</v>
      </c>
      <c r="R19" s="332"/>
      <c r="AA19" s="4" t="e">
        <f t="shared" si="0"/>
        <v>#VALUE!</v>
      </c>
      <c r="AB19" s="4" t="e">
        <f t="shared" si="1"/>
        <v>#VALUE!</v>
      </c>
      <c r="AC19" s="4" t="e">
        <f t="shared" si="2"/>
        <v>#VALUE!</v>
      </c>
      <c r="AD19" s="171" t="s">
        <v>325</v>
      </c>
      <c r="AE19" s="283">
        <f ca="1">MAX(IF(TYPE(MATCH(AE9,AE$3:AE8,0))&lt;&gt;16,MAX(INDIRECT("F"&amp;MATCH(AE9,AE$3:AE8,0)+32),IF(TYPE(MATCH(AE9,INDIRECT("AE"&amp;MATCH(AE9,AE$3:AE8,0)+3):AE8,0))&lt;&gt;16,INDIRECT("F"&amp;MATCH(AE9,INDIRECT("AE"&amp;MATCH(AE9,AE$3:AE8,0)+3):AE8,0)+32+MATCH(AE9,AE$3:AE8,0)),0)),0),IF(TYPE(MATCH(AE9,AE10:AE$12,0))&lt;&gt;16,MAX(INDIRECT("F"&amp;MATCH(AE9,AE10:AE$12,0)+39),IF(TYPE(MATCH(AE9,INDIRECT("AE"&amp;MATCH(AE9,AE10:AE$12,0)+10):AE$12,0))&lt;&gt;16,INDIRECT("F"&amp;MATCH(AE9,INDIRECT("AE"&amp;MATCH(AE9,AE10:AE$12,0)+10):AE$12,0)+39+MATCH(AE9,AE10:AE$12,0)),0)),0))</f>
        <v>0</v>
      </c>
      <c r="AF19" s="4">
        <v>8</v>
      </c>
    </row>
    <row r="20" spans="2:32">
      <c r="B20" s="329">
        <v>0</v>
      </c>
      <c r="C20" s="315">
        <f>10+B20</f>
        <v>10</v>
      </c>
      <c r="D20" s="315">
        <f>B20*(10+C20-1)/2</f>
        <v>0</v>
      </c>
      <c r="E20" s="564">
        <f>B20</f>
        <v>0</v>
      </c>
      <c r="F20" s="574"/>
      <c r="G20" s="564">
        <f>INT(B20/2)</f>
        <v>0</v>
      </c>
      <c r="H20" s="565"/>
      <c r="K20" s="568">
        <v>0</v>
      </c>
      <c r="L20" s="569"/>
      <c r="M20" s="551">
        <v>2</v>
      </c>
      <c r="N20" s="552"/>
      <c r="O20" s="551">
        <f>K20*M20</f>
        <v>0</v>
      </c>
      <c r="P20" s="552"/>
      <c r="Q20" s="317" t="str">
        <f>IF(TYPE(MATCH("Antimág",Character!D11:D15,0))&lt;&gt;16,"Antimág",MIN(MIN((K20-IF(TYPE(MATCH("Alergie na magii",Character!D11:D15,0))&lt;&gt;16,25,0)),75)+IF(Character!C4="Temný elf",20,0),95)&amp;"%")</f>
        <v>0%</v>
      </c>
      <c r="R20" s="333"/>
      <c r="AA20" s="4" t="e">
        <f t="shared" si="0"/>
        <v>#VALUE!</v>
      </c>
      <c r="AB20" s="4" t="e">
        <f t="shared" si="1"/>
        <v>#VALUE!</v>
      </c>
      <c r="AC20" s="4" t="e">
        <f t="shared" si="2"/>
        <v>#VALUE!</v>
      </c>
      <c r="AD20" s="171" t="s">
        <v>326</v>
      </c>
      <c r="AE20" s="283">
        <f ca="1">MAX(IF(TYPE(MATCH(AE10,AE$3:AE9,0))&lt;&gt;16,MAX(INDIRECT("F"&amp;MATCH(AE10,AE$3:AE9,0)+32),IF(TYPE(MATCH(AE10,INDIRECT("AE"&amp;MATCH(AE10,AE$3:AE9,0)+3):AE9,0))&lt;&gt;16,INDIRECT("F"&amp;MATCH(AE10,INDIRECT("AE"&amp;MATCH(AE10,AE$3:AE9,0)+3):AE9,0)+32+MATCH(AE10,AE$3:AE9,0)),0)),0),IF(TYPE(MATCH(AE10,AE11:AE$12,0))&lt;&gt;16,MAX(INDIRECT("F"&amp;MATCH(AE10,AE11:AE$12,0)+40),IF(TYPE(MATCH(AE10,INDIRECT("AE"&amp;MATCH(AE10,AE11:AE$12,0)+11):AE$12,0))&lt;&gt;16,INDIRECT("F"&amp;MATCH(AE10,INDIRECT("AE"&amp;MATCH(AE10,AE11:AE$12,0)+11):AE$12,0)+40+MATCH(AE10,AE11:AE$12,0)),0)),0))</f>
        <v>0</v>
      </c>
      <c r="AF20" s="4">
        <v>9</v>
      </c>
    </row>
    <row r="21" spans="2:32">
      <c r="R21" s="49"/>
      <c r="AA21" s="4" t="e">
        <f t="shared" si="0"/>
        <v>#VALUE!</v>
      </c>
      <c r="AB21" s="4" t="e">
        <f t="shared" si="1"/>
        <v>#VALUE!</v>
      </c>
      <c r="AC21" s="4" t="e">
        <f t="shared" si="2"/>
        <v>#VALUE!</v>
      </c>
      <c r="AD21" s="171" t="s">
        <v>327</v>
      </c>
      <c r="AE21" s="283">
        <f ca="1">MAX(IF(TYPE(MATCH(AE11,AE$3:AE10,0))&lt;&gt;16,MAX(INDIRECT("F"&amp;MATCH(AE11,AE$3:AE10,0)+32),IF(TYPE(MATCH(AE11,INDIRECT("AE"&amp;MATCH(AE11,AE$3:AE10,0)+3):AE10,0))&lt;&gt;16,INDIRECT("F"&amp;MATCH(AE11,INDIRECT("AE"&amp;MATCH(AE11,AE$3:AE10,0)+3):AE10,0)+32+MATCH(AE11,AE$3:AE10,0)),0)),0),IF(TYPE(MATCH(AE11,AE12:AE$12,0))&lt;&gt;16,MAX(INDIRECT("F"&amp;MATCH(AE11,AE12:AE$12,0)+41),IF(TYPE(MATCH(AE11,INDIRECT("AE"&amp;MATCH(AE11,AE12:AE$12,0)+12):AE$12,0))&lt;&gt;16,INDIRECT("F"&amp;MATCH(AE11,INDIRECT("AE"&amp;MATCH(AE11,AE12:AE$12,0)+12):AE$12,0)+41+MATCH(AE11,AE12:AE$12,0)),0)),0))</f>
        <v>0</v>
      </c>
      <c r="AF21" s="4">
        <v>10</v>
      </c>
    </row>
    <row r="22" spans="2:32">
      <c r="B22" s="520" t="s">
        <v>432</v>
      </c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521"/>
      <c r="O22" s="521"/>
      <c r="P22" s="521"/>
      <c r="Q22" s="521"/>
      <c r="R22" s="521"/>
      <c r="S22" s="101"/>
      <c r="AA22" s="4" t="e">
        <f t="shared" si="0"/>
        <v>#VALUE!</v>
      </c>
      <c r="AB22" s="4" t="e">
        <f t="shared" si="1"/>
        <v>#VALUE!</v>
      </c>
      <c r="AC22" s="4" t="e">
        <f t="shared" si="2"/>
        <v>#VALUE!</v>
      </c>
      <c r="AD22" s="171" t="s">
        <v>328</v>
      </c>
      <c r="AE22" s="284">
        <f ca="1">IF(TYPE(MATCH(AE12,AE$3:AE11,0))&lt;&gt;16,MAX(INDIRECT("F"&amp;MATCH(AE12,AE$3:AE11,0)+32),IF(TYPE(MATCH(AE12,INDIRECT("AE"&amp;MATCH(AE12,AE$3:AE11,0)+3):AE11,0))&lt;&gt;16,INDIRECT("F"&amp;MATCH(AE12,INDIRECT("AE"&amp;MATCH(AE12,AE$3:AE11,0)+3):AE11,0)+32+MATCH(AE12,AE$3:AE11,0)),0)),0)</f>
        <v>0</v>
      </c>
      <c r="AF22" s="4"/>
    </row>
    <row r="23" spans="2:32" s="4" customFormat="1" ht="15" customHeight="1">
      <c r="B23" s="554" t="s">
        <v>433</v>
      </c>
      <c r="C23" s="555"/>
      <c r="D23" s="558" t="s">
        <v>402</v>
      </c>
      <c r="E23" s="558" t="s">
        <v>403</v>
      </c>
      <c r="F23" s="558"/>
      <c r="G23" s="558"/>
      <c r="H23" s="558" t="s">
        <v>404</v>
      </c>
      <c r="I23" s="558"/>
      <c r="J23" s="558"/>
      <c r="K23" s="553" t="s">
        <v>405</v>
      </c>
      <c r="L23" s="553"/>
      <c r="M23" s="553"/>
      <c r="N23" s="553" t="s">
        <v>406</v>
      </c>
      <c r="O23" s="553"/>
      <c r="P23" s="553"/>
      <c r="Q23" s="562" t="s">
        <v>470</v>
      </c>
      <c r="R23" s="560" t="s">
        <v>373</v>
      </c>
      <c r="S23" s="548" t="s">
        <v>480</v>
      </c>
      <c r="AA23" s="4" t="e">
        <f t="shared" si="0"/>
        <v>#VALUE!</v>
      </c>
      <c r="AB23" s="4" t="e">
        <f t="shared" si="1"/>
        <v>#VALUE!</v>
      </c>
      <c r="AC23" s="4" t="e">
        <f t="shared" si="2"/>
        <v>#VALUE!</v>
      </c>
      <c r="AD23" s="171" t="s">
        <v>329</v>
      </c>
      <c r="AE23" s="11">
        <f ca="1">IF(TYPE(MATCH(AE3,AE4:AE$12,0))&lt;&gt;16,MAX(INDIRECT("I"&amp;MATCH(AE3,AE4:AE$12,0)+33),IF(TYPE(MATCH(AE3,INDIRECT("AE"&amp;MATCH(AE3,AE4:AE$12,0)+4):AE$12,0))&lt;&gt;16,INDIRECT("I"&amp;MATCH(AE3,INDIRECT("AE"&amp;MATCH(AE3,AE4:AE$12,0)+4):AE$12,0)+33+MATCH(AE3,AE4:AE$12,0)),0)),0)</f>
        <v>0</v>
      </c>
    </row>
    <row r="24" spans="2:32" s="4" customFormat="1" ht="15" customHeight="1">
      <c r="B24" s="556"/>
      <c r="C24" s="557"/>
      <c r="D24" s="559"/>
      <c r="E24" s="138" t="s">
        <v>407</v>
      </c>
      <c r="F24" s="218" t="s">
        <v>49</v>
      </c>
      <c r="G24" s="170" t="s">
        <v>15</v>
      </c>
      <c r="H24" s="138" t="s">
        <v>407</v>
      </c>
      <c r="I24" s="218" t="s">
        <v>49</v>
      </c>
      <c r="J24" s="170" t="s">
        <v>15</v>
      </c>
      <c r="K24" s="138" t="s">
        <v>407</v>
      </c>
      <c r="L24" s="218" t="s">
        <v>49</v>
      </c>
      <c r="M24" s="170" t="s">
        <v>15</v>
      </c>
      <c r="N24" s="138" t="s">
        <v>407</v>
      </c>
      <c r="O24" s="218" t="s">
        <v>49</v>
      </c>
      <c r="P24" s="170" t="s">
        <v>15</v>
      </c>
      <c r="Q24" s="563"/>
      <c r="R24" s="561"/>
      <c r="S24" s="548"/>
      <c r="AA24" s="4" t="e">
        <f t="shared" si="0"/>
        <v>#VALUE!</v>
      </c>
      <c r="AB24" s="4" t="e">
        <f t="shared" si="1"/>
        <v>#VALUE!</v>
      </c>
      <c r="AC24" s="4" t="e">
        <f t="shared" si="2"/>
        <v>#VALUE!</v>
      </c>
      <c r="AD24" s="171" t="s">
        <v>330</v>
      </c>
      <c r="AE24" s="283">
        <f ca="1">MAX(IF(TYPE(MATCH(AE4,AE$3:AE3,0))&lt;&gt;16,MAX(INDIRECT("I"&amp;MATCH(AE4,AE$3:AE3,0)+32),IF(TYPE(MATCH(AE4,INDIRECT("AE"&amp;MATCH(AE4,AE$3:AE3,0)+3):AE3,0))&lt;&gt;16,INDIRECT("I"&amp;MATCH(AE4,INDIRECT("AE"&amp;MATCH(AE4,AE$3:AE3,0)+3):AE3,0)+32+MATCH(AE4,AE$3:AE3,0)),0)),0),IF(TYPE(MATCH(AE4,AE5:AE$12,0))&lt;&gt;16,MAX(INDIRECT("I"&amp;MATCH(AE4,AE5:AE$12,0)+34),IF(TYPE(MATCH(AE4,INDIRECT("AE"&amp;MATCH(AE4,AE5:AE$12,0)+5):AE$12,0))&lt;&gt;16,INDIRECT("I"&amp;MATCH(AE4,INDIRECT("AE"&amp;MATCH(AE4,AE5:AE$12,0)+5):AE$12,0)+34+MATCH(AE4,AE5:AE$12,0)),0)),0))</f>
        <v>0</v>
      </c>
    </row>
    <row r="25" spans="2:32" ht="15" customHeight="1">
      <c r="B25" s="173" t="s">
        <v>297</v>
      </c>
      <c r="C25" s="223" t="b">
        <v>0</v>
      </c>
      <c r="D25" s="84">
        <f>10-IF(Character!C4="Amazonka",2,0)-IF(TYPE(MATCH("Učenlivý",Character!D11:D15,0))&lt;&gt;16,5,0)</f>
        <v>10</v>
      </c>
      <c r="E25" s="128">
        <f>IF($C25,2,0)</f>
        <v>0</v>
      </c>
      <c r="F25" s="224">
        <v>0</v>
      </c>
      <c r="G25" s="177" t="str">
        <f ca="1">IF($C25,5+INT((F25+IF(TYPE(MATCH(B25,B33:B42,0))&lt;&gt;16,INDIRECT("I"&amp;MATCH(B25,B33:B42,0)+32),0))/(Character!H20/2))*5-IF(Character!C4="Amazonka",2,0)-IF(TYPE(MATCH("Učenlivý",Character!D11:D15,0))&lt;&gt;16,1,0),"N/A")</f>
        <v>N/A</v>
      </c>
      <c r="H25" s="128"/>
      <c r="I25" s="219"/>
      <c r="J25" s="177"/>
      <c r="K25" s="128"/>
      <c r="L25" s="219"/>
      <c r="M25" s="177"/>
      <c r="N25" s="128"/>
      <c r="O25" s="219"/>
      <c r="P25" s="176"/>
      <c r="Q25" s="277">
        <v>0</v>
      </c>
      <c r="R25" s="214">
        <f t="shared" ref="R25:R31" si="5">C25*D25+Q25</f>
        <v>0</v>
      </c>
      <c r="S25" s="108"/>
      <c r="AA25" s="4" t="e">
        <f t="shared" si="0"/>
        <v>#VALUE!</v>
      </c>
      <c r="AB25" s="4" t="e">
        <f t="shared" si="1"/>
        <v>#VALUE!</v>
      </c>
      <c r="AC25" s="4" t="e">
        <f t="shared" si="2"/>
        <v>#VALUE!</v>
      </c>
      <c r="AD25" s="171" t="s">
        <v>331</v>
      </c>
      <c r="AE25" s="283">
        <f ca="1">MAX(IF(TYPE(MATCH(AE5,AE$3:AE4,0))&lt;&gt;16,MAX(INDIRECT("I"&amp;MATCH(AE5,AE$3:AE4,0)+32),IF(TYPE(MATCH(AE5,INDIRECT("AE"&amp;MATCH(AE5,AE$3:AE4,0)+3):AE4,0))&lt;&gt;16,INDIRECT("I"&amp;MATCH(AE5,INDIRECT("AE"&amp;MATCH(AE5,AE$3:AE4,0)+3):AE4,0)+32+MATCH(AE5,AE$3:AE4,0)),0)),0),IF(TYPE(MATCH(AE5,AE6:AE$12,0))&lt;&gt;16,MAX(INDIRECT("I"&amp;MATCH(AE5,AE6:AE$12,0)+35),IF(TYPE(MATCH(AE5,INDIRECT("AE"&amp;MATCH(AE5,AE6:AE$12,0)+6):AE$12,0))&lt;&gt;16,INDIRECT("I"&amp;MATCH(AE5,INDIRECT("AE"&amp;MATCH(AE5,AE6:AE$12,0)+6):AE$12,0)+35+MATCH(AE5,AE6:AE$12,0)),0)),0))</f>
        <v>0</v>
      </c>
      <c r="AF25" s="4"/>
    </row>
    <row r="26" spans="2:32">
      <c r="B26" s="173" t="s">
        <v>298</v>
      </c>
      <c r="C26" s="223" t="b">
        <v>0</v>
      </c>
      <c r="D26" s="84">
        <f>20-IF(Character!C4="Amazonka",2,0)-IF(TYPE(MATCH("Učenlivý",Character!D11:D15,0))&lt;&gt;16,5,0)-IF(TYPE(MATCH("Šermíř",Character!D11:D15,0))&lt;&gt;16,1,0)</f>
        <v>20</v>
      </c>
      <c r="E26" s="129">
        <f>IF($C26,1,0)</f>
        <v>0</v>
      </c>
      <c r="F26" s="225">
        <v>0</v>
      </c>
      <c r="G26" s="179" t="str">
        <f>IF($C26,5+INT((F26+I26)/(IF(S26="krátké",Character!$H$20,Character!$H$25)/2))*5-IF(Character!C4="Amazonka",2,0)-IF(TYPE(MATCH("Učenlivý",Character!D11:D15,0))&lt;&gt;16,1,0)-IF(TYPE(MATCH("Šermíř",Character!D11:D15,0))&lt;&gt;16,1,0),"N/A")</f>
        <v>N/A</v>
      </c>
      <c r="H26" s="129">
        <f>IF($C26,1,0)</f>
        <v>0</v>
      </c>
      <c r="I26" s="225">
        <v>0</v>
      </c>
      <c r="J26" s="179" t="str">
        <f>IF($C26,5+INT((F26+I26)/(IF(S26="krátké",Character!$H$20,Character!$H$25)/2))*5-IF(Character!C4="Amazonka",2,0)-IF(TYPE(MATCH("Učenlivý",Character!D11:D15,0))&lt;&gt;16,1,0)-IF(TYPE(MATCH("Šermíř",Character!D11:D15,0))&lt;&gt;16,1,0),"N/A")</f>
        <v>N/A</v>
      </c>
      <c r="K26" s="129"/>
      <c r="L26" s="217"/>
      <c r="M26" s="179"/>
      <c r="N26" s="129"/>
      <c r="O26" s="217"/>
      <c r="P26" s="178"/>
      <c r="Q26" s="288">
        <v>0</v>
      </c>
      <c r="R26" s="297">
        <f t="shared" si="5"/>
        <v>0</v>
      </c>
      <c r="S26" s="296" t="s">
        <v>483</v>
      </c>
      <c r="T26" s="4"/>
      <c r="AA26" s="4" t="e">
        <f t="shared" si="0"/>
        <v>#VALUE!</v>
      </c>
      <c r="AB26" s="4" t="e">
        <f t="shared" si="1"/>
        <v>#VALUE!</v>
      </c>
      <c r="AC26" s="4" t="e">
        <f t="shared" si="2"/>
        <v>#VALUE!</v>
      </c>
      <c r="AD26" s="171" t="s">
        <v>332</v>
      </c>
      <c r="AE26" s="283">
        <f ca="1">MAX(IF(TYPE(MATCH(AE6,AE$3:AE5,0))&lt;&gt;16,MAX(INDIRECT("I"&amp;MATCH(AE6,AE$3:AE5,0)+32),IF(TYPE(MATCH(AE6,INDIRECT("AE"&amp;MATCH(AE6,AE$3:AE5,0)+3):AE5,0))&lt;&gt;16,INDIRECT("I"&amp;MATCH(AE6,INDIRECT("AE"&amp;MATCH(AE6,AE$3:AE5,0)+3):AE5,0)+32+MATCH(AE6,AE$3:AE5,0)),0)),0),IF(TYPE(MATCH(AE6,AE7:AE$12,0))&lt;&gt;16,MAX(INDIRECT("I"&amp;MATCH(AE6,AE7:AE$12,0)+36),IF(TYPE(MATCH(AE6,INDIRECT("AE"&amp;MATCH(AE6,AE7:AE$12,0)+7):AE$12,0))&lt;&gt;16,INDIRECT("I"&amp;MATCH(AE6,INDIRECT("AE"&amp;MATCH(AE6,AE7:AE$12,0)+7):AE$12,0)+36+MATCH(AE6,AE7:AE$12,0)),0)),0))</f>
        <v>0</v>
      </c>
      <c r="AF26" s="4"/>
    </row>
    <row r="27" spans="2:32">
      <c r="B27" s="173" t="s">
        <v>300</v>
      </c>
      <c r="C27" s="223" t="b">
        <v>0</v>
      </c>
      <c r="D27" s="84">
        <f>15-IF(Character!C4="Amazonka",2,0)-IF(TYPE(MATCH("Učenlivý",Character!D11:D15,0))&lt;&gt;16,5,0)+IF(TYPE(MATCH("Šermíř",Character!D11:D15,0))&lt;&gt;16,1,0)</f>
        <v>15</v>
      </c>
      <c r="E27" s="129">
        <f>IF($C27,2,0)</f>
        <v>0</v>
      </c>
      <c r="F27" s="225">
        <v>0</v>
      </c>
      <c r="G27" s="179" t="s">
        <v>408</v>
      </c>
      <c r="H27" s="129"/>
      <c r="I27" s="217"/>
      <c r="J27" s="179"/>
      <c r="K27" s="129">
        <v>0</v>
      </c>
      <c r="L27" s="225">
        <v>0</v>
      </c>
      <c r="M27" s="179" t="str">
        <f>IF($C27,5+INT((L27+O27)/(Character!$H$19/2))*5-IF(Character!C4="Amazonka",2,0)-IF(TYPE(MATCH("Učenlivý",Character!D11:D15,0))&lt;&gt;16,1,0)+IF(TYPE(MATCH("Šermíř",Character!D11:D15,0))&lt;&gt;16,1,0),"N/A")</f>
        <v>N/A</v>
      </c>
      <c r="N27" s="129">
        <v>0</v>
      </c>
      <c r="O27" s="225">
        <v>0</v>
      </c>
      <c r="P27" s="178" t="str">
        <f>IF($C27,5+INT((L27+O27)/(Character!$H$19/2))*5-IF(Character!C4="Amazonka",2,0)-IF(TYPE(MATCH("Učenlivý",Character!D11:D15,0))&lt;&gt;16,1,0)+IF(TYPE(MATCH("Šermíř",Character!D11:D15,0))&lt;&gt;16,1,0),"N/A")</f>
        <v>N/A</v>
      </c>
      <c r="Q27" s="154">
        <v>0</v>
      </c>
      <c r="R27" s="215">
        <f t="shared" si="5"/>
        <v>0</v>
      </c>
      <c r="S27" s="287"/>
      <c r="T27" s="4"/>
      <c r="AA27" s="4" t="e">
        <f t="shared" si="0"/>
        <v>#VALUE!</v>
      </c>
      <c r="AB27" s="4" t="e">
        <f t="shared" si="1"/>
        <v>#VALUE!</v>
      </c>
      <c r="AC27" s="4" t="e">
        <f t="shared" si="2"/>
        <v>#VALUE!</v>
      </c>
      <c r="AE27" s="283">
        <f ca="1">MAX(IF(TYPE(MATCH(AE7,AE$3:AE6,0))&lt;&gt;16,MAX(INDIRECT("I"&amp;MATCH(AE7,AE$3:AE6,0)+32),IF(TYPE(MATCH(AE7,INDIRECT("AE"&amp;MATCH(AE7,AE$3:AE6,0)+3):AE6,0))&lt;&gt;16,INDIRECT("I"&amp;MATCH(AE7,INDIRECT("AE"&amp;MATCH(AE7,AE$3:AE6,0)+3):AE6,0)+32+MATCH(AE7,AE$3:AE6,0)),0)),0),IF(TYPE(MATCH(AE7,AE8:AE$12,0))&lt;&gt;16,MAX(INDIRECT("I"&amp;MATCH(AE7,AE8:AE$12,0)+37),IF(TYPE(MATCH(AE7,INDIRECT("AE"&amp;MATCH(AE7,AE8:AE$12,0)+8):AE$12,0))&lt;&gt;16,INDIRECT("I"&amp;MATCH(AE7,INDIRECT("AE"&amp;MATCH(AE7,AE8:AE$12,0)+8):AE$12,0)+37+MATCH(AE7,AE8:AE$12,0)),0)),0))</f>
        <v>0</v>
      </c>
    </row>
    <row r="28" spans="2:32">
      <c r="B28" s="173" t="s">
        <v>399</v>
      </c>
      <c r="C28" s="223" t="b">
        <v>0</v>
      </c>
      <c r="D28" s="84">
        <f>15-IF(Character!C4="Amazonka",2,0)-IF(TYPE(MATCH("Učenlivý",Character!D11:D15,0))&lt;&gt;16,5,0)+IF(TYPE(MATCH("Šermíř",Character!D11:D15,0))&lt;&gt;16,1,0)</f>
        <v>15</v>
      </c>
      <c r="E28" s="129">
        <f>IF($C28,1,0)</f>
        <v>0</v>
      </c>
      <c r="F28" s="225">
        <v>0</v>
      </c>
      <c r="G28" s="179" t="s">
        <v>408</v>
      </c>
      <c r="H28" s="129"/>
      <c r="I28" s="217"/>
      <c r="J28" s="179"/>
      <c r="K28" s="129"/>
      <c r="L28" s="217"/>
      <c r="M28" s="179"/>
      <c r="N28" s="129">
        <f>CHOOSE($C28+1,0,2,4,6)</f>
        <v>0</v>
      </c>
      <c r="O28" s="225">
        <v>0</v>
      </c>
      <c r="P28" s="178" t="str">
        <f>IF($C28,5+INT(O28/(Character!$H$19/2))*5-IF(Character!C4="Amazonka",2,0)-IF(TYPE(MATCH("Učenlivý",Character!D11:D15,0))&lt;&gt;16,1,0)+IF(TYPE(MATCH("Šermíř",Character!D11:D15,0))&lt;&gt;16,1,0),"N/A")</f>
        <v>N/A</v>
      </c>
      <c r="Q28" s="154">
        <v>0</v>
      </c>
      <c r="R28" s="215">
        <f t="shared" si="5"/>
        <v>0</v>
      </c>
      <c r="S28" s="287"/>
      <c r="T28" s="4"/>
      <c r="AA28" s="4" t="e">
        <f t="shared" si="0"/>
        <v>#VALUE!</v>
      </c>
      <c r="AB28" s="4" t="e">
        <f t="shared" si="1"/>
        <v>#VALUE!</v>
      </c>
      <c r="AC28" s="4" t="e">
        <f t="shared" si="2"/>
        <v>#VALUE!</v>
      </c>
      <c r="AE28" s="283">
        <f ca="1">MAX(IF(TYPE(MATCH(AE8,AE$3:AE7,0))&lt;&gt;16,MAX(INDIRECT("I"&amp;MATCH(AE8,AE$3:AE7,0)+32),IF(TYPE(MATCH(AE8,INDIRECT("AE"&amp;MATCH(AE8,AE$3:AE7,0)+3):AE7,0))&lt;&gt;16,INDIRECT("I"&amp;MATCH(AE8,INDIRECT("AE"&amp;MATCH(AE8,AE$3:AE7,0)+3):AE7,0)+32+MATCH(AE8,AE$3:AE7,0)),0)),0),IF(TYPE(MATCH(AE8,AE9:AE$12,0))&lt;&gt;16,MAX(INDIRECT("I"&amp;MATCH(AE8,AE9:AE$12,0)+38),IF(TYPE(MATCH(AE8,INDIRECT("AE"&amp;MATCH(AE8,AE9:AE$12,0)+9):AE$12,0))&lt;&gt;16,INDIRECT("I"&amp;MATCH(AE8,INDIRECT("AE"&amp;MATCH(AE8,AE9:AE$12,0)+9):AE$12,0)+38+MATCH(AE8,AE9:AE$12,0)),0)),0))</f>
        <v>0</v>
      </c>
    </row>
    <row r="29" spans="2:32">
      <c r="B29" s="173" t="s">
        <v>400</v>
      </c>
      <c r="C29" s="223" t="b">
        <v>0</v>
      </c>
      <c r="D29" s="84">
        <f>15-IF(Character!C4="Amazonka",2,0)-IF(TYPE(MATCH("Učenlivý",Character!D11:D15,0))&lt;&gt;16,5,0)+IF(TYPE(MATCH("Šermíř",Character!D11:D15,0))&lt;&gt;16,1,0)</f>
        <v>15</v>
      </c>
      <c r="E29" s="129">
        <f>IF($C29,1,0)</f>
        <v>0</v>
      </c>
      <c r="F29" s="225">
        <v>0</v>
      </c>
      <c r="G29" s="179" t="str">
        <f>IF($C29,5+INT((F29+I29)/(IF(S26="lehké",Character!$H$20,Character!$H$25)/2))*5-IF(Character!C4="Amazonka",2,0)-IF(TYPE(MATCH("Učenlivý",Character!D11:D15,0))&lt;&gt;16,1,0)+IF(TYPE(MATCH("Šermíř",Character!D11:D15,0))&lt;&gt;16,1,0),"N/A")</f>
        <v>N/A</v>
      </c>
      <c r="H29" s="129">
        <f>IF($C29,1,0)</f>
        <v>0</v>
      </c>
      <c r="I29" s="225">
        <v>0</v>
      </c>
      <c r="J29" s="179" t="str">
        <f>IF($C29,5+INT((F29+I29)/(IF(S26="lehké",Character!$H$20,Character!$H$25)/2))*5-IF(Character!C4="Amazonka",2,0)-IF(TYPE(MATCH("Učenlivý",Character!D11:D15,0))&lt;&gt;16,1,0)+IF(TYPE(MATCH("Šermíř",Character!D11:D15,0))&lt;&gt;16,1,0),"N/A")</f>
        <v>N/A</v>
      </c>
      <c r="K29" s="129"/>
      <c r="L29" s="217"/>
      <c r="M29" s="179"/>
      <c r="N29" s="129"/>
      <c r="O29" s="217"/>
      <c r="P29" s="178"/>
      <c r="Q29" s="288">
        <v>0</v>
      </c>
      <c r="R29" s="297">
        <f t="shared" si="5"/>
        <v>0</v>
      </c>
      <c r="S29" s="296" t="s">
        <v>484</v>
      </c>
      <c r="T29" s="4"/>
      <c r="AA29" s="4" t="e">
        <f t="shared" si="0"/>
        <v>#VALUE!</v>
      </c>
      <c r="AB29" s="4" t="e">
        <f t="shared" si="1"/>
        <v>#VALUE!</v>
      </c>
      <c r="AC29" s="4" t="e">
        <f t="shared" si="2"/>
        <v>#VALUE!</v>
      </c>
      <c r="AD29" s="171" t="s">
        <v>481</v>
      </c>
      <c r="AE29" s="283">
        <f ca="1">MAX(IF(TYPE(MATCH(AE9,AE$3:AE8,0))&lt;&gt;16,MAX(INDIRECT("I"&amp;MATCH(AE9,AE$3:AE8,0)+32),IF(TYPE(MATCH(AE9,INDIRECT("AE"&amp;MATCH(AE9,AE$3:AE8,0)+3):AE8,0))&lt;&gt;16,INDIRECT("I"&amp;MATCH(AE9,INDIRECT("AE"&amp;MATCH(AE9,AE$3:AE8,0)+3):AE8,0)+32+MATCH(AE9,AE$3:AE8,0)),0)),0),IF(TYPE(MATCH(AE9,AE10:AE$12,0))&lt;&gt;16,MAX(INDIRECT("I"&amp;MATCH(AE9,AE10:AE$12,0)+39),IF(TYPE(MATCH(AE9,INDIRECT("AE"&amp;MATCH(AE9,AE10:AE$12,0)+10):AE$12,0))&lt;&gt;16,INDIRECT("I"&amp;MATCH(AE9,INDIRECT("AE"&amp;MATCH(AE9,AE10:AE$12,0)+10):AE$12,0)+39+MATCH(AE9,AE10:AE$12,0)),0)),0))</f>
        <v>0</v>
      </c>
    </row>
    <row r="30" spans="2:32">
      <c r="B30" s="173" t="s">
        <v>10</v>
      </c>
      <c r="C30" s="223" t="b">
        <v>0</v>
      </c>
      <c r="D30" s="84">
        <f>15-IF(Character!C4="Amazonka",2,0)-IF(TYPE(MATCH("Učenlivý",Character!D11:D15,0))&lt;&gt;16,5,0)+IF(TYPE(MATCH("Šermíř",Character!D11:D15,0))&lt;&gt;16,1,0)</f>
        <v>15</v>
      </c>
      <c r="E30" s="129">
        <f>IF($C30,Character!H20,0)</f>
        <v>0</v>
      </c>
      <c r="F30" s="225">
        <v>0</v>
      </c>
      <c r="G30" s="179" t="str">
        <f>IF($C30,MAX(1+INT(F30/(Character!$H$20/2))-IF(Character!C4="Amazonka",2,0)-IF(TYPE(MATCH("Učenlivý",Character!D11:D15,0))&lt;&gt;16,1,0),1)+IF(TYPE(MATCH("Šermíř",Character!D11:D15,0))&lt;&gt;16,1,0),"N/A")</f>
        <v>N/A</v>
      </c>
      <c r="H30" s="129"/>
      <c r="I30" s="217"/>
      <c r="J30" s="179"/>
      <c r="K30" s="129"/>
      <c r="L30" s="217"/>
      <c r="M30" s="179"/>
      <c r="N30" s="129"/>
      <c r="O30" s="217"/>
      <c r="P30" s="178"/>
      <c r="Q30" s="154">
        <v>0</v>
      </c>
      <c r="R30" s="215">
        <f t="shared" si="5"/>
        <v>0</v>
      </c>
      <c r="S30" s="287"/>
      <c r="T30" s="4"/>
      <c r="AA30" s="4" t="e">
        <f t="shared" si="0"/>
        <v>#VALUE!</v>
      </c>
      <c r="AB30" s="4" t="e">
        <f t="shared" si="1"/>
        <v>#VALUE!</v>
      </c>
      <c r="AC30" s="4" t="e">
        <f t="shared" si="2"/>
        <v>#VALUE!</v>
      </c>
      <c r="AD30" s="171" t="s">
        <v>482</v>
      </c>
      <c r="AE30" s="283">
        <f ca="1">MAX(IF(TYPE(MATCH(AE10,AE$3:AE9,0))&lt;&gt;16,MAX(INDIRECT("I"&amp;MATCH(AE10,AE$3:AE9,0)+32),IF(TYPE(MATCH(AE10,INDIRECT("AE"&amp;MATCH(AE10,AE$3:AE9,0)+3):AE9,0))&lt;&gt;16,INDIRECT("I"&amp;MATCH(AE10,INDIRECT("AE"&amp;MATCH(AE10,AE$3:AE9,0)+3):AE9,0)+32+MATCH(AE10,AE$3:AE9,0)),0)),0),IF(TYPE(MATCH(AE10,AE11:AE$12,0))&lt;&gt;16,MAX(INDIRECT("I"&amp;MATCH(AE10,AE11:AE$12,0)+40),IF(TYPE(MATCH(AE10,INDIRECT("AE"&amp;MATCH(AE10,AE11:AE$12,0)+11):AE$12,0))&lt;&gt;16,INDIRECT("I"&amp;MATCH(AE10,INDIRECT("AE"&amp;MATCH(AE10,AE11:AE$12,0)+11):AE$12,0)+40+MATCH(AE10,AE11:AE$12,0)),0)),0))</f>
        <v>0</v>
      </c>
    </row>
    <row r="31" spans="2:32">
      <c r="B31" s="174" t="s">
        <v>401</v>
      </c>
      <c r="C31" s="223" t="b">
        <v>0</v>
      </c>
      <c r="D31" s="85">
        <f>15-IF(Character!C4="Amazonka",2,0)-IF(TYPE(MATCH("Učenlivý",Character!D11:D15,0))&lt;&gt;16,5,0)+IF(TYPE(MATCH("Šermíř",Character!D11:D15,0))&lt;&gt;16,1,0)</f>
        <v>15</v>
      </c>
      <c r="E31" s="129">
        <f>IF(C31,2,0)</f>
        <v>0</v>
      </c>
      <c r="F31" s="225">
        <v>0</v>
      </c>
      <c r="G31" s="179" t="str">
        <f>IF($C31,5+INT(F31/(IF(S26="tupé",Character!$H$20,Character!$H$25)/2))*5-IF(Character!C4="Amazonka",2,0)-IF(TYPE(MATCH("Učenlivý",Character!D11:D15,0))&lt;&gt;16,1,0)+IF(TYPE(MATCH("Šermíř",Character!D11:D15,0))&lt;&gt;16,1,0),"N/A")</f>
        <v>N/A</v>
      </c>
      <c r="H31" s="129"/>
      <c r="I31" s="217"/>
      <c r="J31" s="179"/>
      <c r="K31" s="129"/>
      <c r="L31" s="217"/>
      <c r="M31" s="179"/>
      <c r="N31" s="129"/>
      <c r="O31" s="217"/>
      <c r="P31" s="178"/>
      <c r="Q31" s="288">
        <v>0</v>
      </c>
      <c r="R31" s="297">
        <f t="shared" si="5"/>
        <v>0</v>
      </c>
      <c r="S31" s="296" t="s">
        <v>485</v>
      </c>
      <c r="T31" s="4"/>
      <c r="AA31" s="4" t="e">
        <f t="shared" si="0"/>
        <v>#VALUE!</v>
      </c>
      <c r="AB31" s="4" t="e">
        <f t="shared" si="1"/>
        <v>#VALUE!</v>
      </c>
      <c r="AC31" s="4" t="e">
        <f t="shared" si="2"/>
        <v>#VALUE!</v>
      </c>
      <c r="AD31" s="171" t="s">
        <v>483</v>
      </c>
      <c r="AE31" s="283">
        <f ca="1">MAX(IF(TYPE(MATCH(AE11,AE$3:AE10,0))&lt;&gt;16,MAX(INDIRECT("I"&amp;MATCH(AE11,AE$3:AE10,0)+32),IF(TYPE(MATCH(AE11,INDIRECT("AE"&amp;MATCH(AE11,AE$3:AE10,0)+3):AE10,0))&lt;&gt;16,INDIRECT("I"&amp;MATCH(AE11,INDIRECT("AE"&amp;MATCH(AE11,AE$3:AE10,0)+3):AE10,0)+32+MATCH(AE11,AE$3:AE10,0)),0)),0),IF(TYPE(MATCH(AE11,AE12:AE$12,0))&lt;&gt;16,MAX(INDIRECT("I"&amp;MATCH(AE11,AE12:AE$12,0)+41),IF(TYPE(MATCH(AE11,INDIRECT("AE"&amp;MATCH(AE11,AE12:AE$12,0)+12):AE$12,0))&lt;&gt;16,INDIRECT("I"&amp;MATCH(AE11,INDIRECT("AE"&amp;MATCH(AE11,AE12:AE$12,0)+12):AE$12,0)+41+MATCH(AE11,AE12:AE$12,0)),0)),0))</f>
        <v>0</v>
      </c>
    </row>
    <row r="32" spans="2:32" ht="15" customHeight="1">
      <c r="B32" s="592" t="s">
        <v>434</v>
      </c>
      <c r="C32" s="593"/>
      <c r="D32" s="594"/>
      <c r="E32" s="590" t="str">
        <f ca="1">IF(AND(A33:A42),IF(SUMPRODUCT((COUNTIF(B33:D42,B33:D42)&gt;1)+0)&gt;1,"Duplicita dat",""),"Na 2. levlu dovednosti nelze mít podkategorii zbraně, která nespadá do kategorie 1. levlu dovednosti!")</f>
        <v/>
      </c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5"/>
      <c r="S32" s="262"/>
      <c r="AA32" s="4" t="e">
        <f t="shared" si="0"/>
        <v>#VALUE!</v>
      </c>
      <c r="AB32" s="4" t="e">
        <f t="shared" si="1"/>
        <v>#VALUE!</v>
      </c>
      <c r="AC32" s="4" t="e">
        <f t="shared" si="2"/>
        <v>#VALUE!</v>
      </c>
      <c r="AD32" s="171" t="s">
        <v>484</v>
      </c>
      <c r="AE32" s="284">
        <f ca="1">IF(TYPE(MATCH(AE12,AE$3:AE11,0))&lt;&gt;16,MAX(INDIRECT("I"&amp;MATCH(AE12,AE$3:AE11,0)+32),IF(TYPE(MATCH(AE12,INDIRECT("AE"&amp;MATCH(AE12,AE$3:AE11,0)+3):AE11,0))&lt;&gt;16,INDIRECT("I"&amp;MATCH(AE12,INDIRECT("AE"&amp;MATCH(AE12,AE$3:AE11,0)+3):AE11,0)+32+MATCH(AE12,AE$3:AE11,0)),0)),0)</f>
        <v>0</v>
      </c>
    </row>
    <row r="33" spans="1:31" ht="15" customHeight="1">
      <c r="A33" s="222" t="b">
        <f t="shared" ref="A33:A42" ca="1" si="6">IF(B33="",TRUE,INDIRECT("$C$"&amp;MATCH(AE3,$B$25:$B$31,0)+24))</f>
        <v>1</v>
      </c>
      <c r="B33" s="500"/>
      <c r="C33" s="589"/>
      <c r="D33" s="589"/>
      <c r="E33" s="128">
        <f>IF(B33="",0,IF(TYPE(FIND("Střelné zbraně",B33))&lt;&gt;16,Character!$H$20,IF(TYPE(FIND("Vrhací zbraně",B33))&lt;&gt;16,2,1)))</f>
        <v>0</v>
      </c>
      <c r="F33" s="224">
        <v>0</v>
      </c>
      <c r="G33" s="177" t="str">
        <f>IF(OR(TYPE(FIND("Sekery",B33))&lt;&gt;16,TYPE(FIND("Tupé zbraně",B33))&lt;&gt;16),(10+INT((F33+I33)/(IF(AF1="lehké",Character!H20,Character!H25)/2))*5)/IF(AE13&gt;F33,2,1)-IF(Character!$C$4="Amazonka",2,0)+IF(TYPE(MATCH("Šermíř",Character!$D$11:$D$15,0))&lt;&gt;16,1,0)-IF(TYPE(MATCH("Učenlivý",Character!D11:D15,0))&lt;&gt;16,1,0),"N/A")</f>
        <v>N/A</v>
      </c>
      <c r="H33" s="128">
        <f t="shared" ref="H33:H42" si="7">IF(OR(B33="",TYPE(FIND("Střelné zbraně",B33))&lt;&gt;16,TYPE(FIND("Tupé zbraně",B33))&lt;&gt;16,TYPE(FIND("Vrhací zbraně",B33))&lt;&gt;16),0,1)</f>
        <v>0</v>
      </c>
      <c r="I33" s="224">
        <v>0</v>
      </c>
      <c r="J33" s="177" t="str">
        <f ca="1">IF(B33="Nože", 5+INT((F25+IF(TYPE(MATCH(B25,B33:B42,0))&lt;&gt;16,INDIRECT("I"&amp;MATCH(B25,B33:B42,0)+32),0))/(Character!H20/2))*5-IF(Character!C4="Amazonka",2,0)-IF(TYPE(MATCH("Učenlivý",Character!D11:D15,0))&lt;&gt;16,1,0), IF(OR(TYPE(FIND("Sekery",B33))&lt;&gt;16,TYPE(FIND("Tupé zbraně",B33))&lt;&gt;16),(10+INT((F33+I33)/(IF(AF1="lehké",Character!H$20,Character!H$25)/2))*5)/IF(AE23&gt;I33,2,1)-IF(Character!$C$4="Amazonka",2,0)+IF(TYPE(MATCH("Šermíř",Character!$D$11:$D$15,0))&lt;&gt;16,1,0)-IF(TYPE(MATCH("Učenlivý",Character!D11:D15,0))&lt;&gt;16,1,0),"N/A"))</f>
        <v>N/A</v>
      </c>
      <c r="K33" s="128">
        <v>0</v>
      </c>
      <c r="L33" s="224">
        <v>0</v>
      </c>
      <c r="M33" s="177" t="str">
        <f>IF(OR(B33="", TYPE(FIND("Sekery",B33))&lt;&gt;16,TYPE(FIND("Tupé zbraně",B33))&lt;&gt;16, B33="Nože"),"N/A",(10+INT((L33+O33)/(IF(AE3="Střelné zbraně",Character!H$20,Character!H$19)/2))*5)/IF(AE33&gt;L33,2,1)-IF(AND(Character!$C$4="Amazonka",B33&lt;&gt;"Střelné zbraně - kuše"),2,0)+IF(TYPE(MATCH("Šermíř",Character!$D$11:$D$15,0))&lt;&gt;16,IF(TYPE(FIND("Meče",B33))&lt;&gt;16,-1,1),0)-IF(TYPE(MATCH("Učenlivý",Character!D11:D15,0))&lt;&gt;16,1,0))</f>
        <v>N/A</v>
      </c>
      <c r="N33" s="128">
        <f t="shared" ref="N33:N42" si="8">IF(TYPE(FIND("Tupé zbraně",B33))&lt;&gt;16,2,0)</f>
        <v>0</v>
      </c>
      <c r="O33" s="224">
        <v>0</v>
      </c>
      <c r="P33" s="177" t="str">
        <f>IF(OR(B33="", TYPE(FIND("Sekery",B33))&lt;&gt;16,TYPE(FIND("Tupé zbraně",B33))&lt;&gt;16, B33="Nože"),"N/A",(10+INT((L33+O33)/(IF(AE3="Střelné zbraně",Character!H$20,Character!H$19)/2))*5)/IF(AE43&gt;O33,2,1)-IF(AND(Character!$C$4="Amazonka",B33&lt;&gt;"Střelné zbraně - kuše"),2,0)+IF(TYPE(MATCH("Šermíř",Character!$D$11:$D$15,0))&lt;&gt;16,IF(TYPE(FIND("Meče",B33))&lt;&gt;16,-1,1),0)-IF(TYPE(MATCH("Učenlivý",Character!D11:D15,0))&lt;&gt;16,1,0))</f>
        <v>N/A</v>
      </c>
      <c r="Q33" s="277">
        <v>0</v>
      </c>
      <c r="R33" s="221">
        <f t="shared" ref="R33:R42" ca="1" si="9">IF(B33&lt;&gt;"",INDIRECT("$D$"&amp;MATCH(IF(B33="Nože","Nože",LEFT(B33,FIND(" -",B33)-1)),$B$25:$B$31,0)+24),0)+Q33</f>
        <v>0</v>
      </c>
      <c r="T33" s="4"/>
      <c r="AA33" s="4" t="e">
        <f t="shared" si="0"/>
        <v>#VALUE!</v>
      </c>
      <c r="AB33" s="4" t="e">
        <f t="shared" si="1"/>
        <v>#VALUE!</v>
      </c>
      <c r="AC33" s="4" t="e">
        <f t="shared" si="2"/>
        <v>#VALUE!</v>
      </c>
      <c r="AD33" s="171" t="s">
        <v>482</v>
      </c>
      <c r="AE33" s="11">
        <f ca="1">IF(TYPE(MATCH(AE3,AE4:AE$12,0))&lt;&gt;16,MAX(INDIRECT("L"&amp;MATCH(AE3,AE4:AE$12,0)+33),IF(TYPE(MATCH(AE3,INDIRECT("AE"&amp;MATCH(AE3,AE4:AE$12,0)+4):AE$12,0))&lt;&gt;16,INDIRECT("L"&amp;MATCH(AE3,INDIRECT("AE"&amp;MATCH(AE3,AE4:AE$12,0)+4):AE$12,0)+33+MATCH(AE3,AE4:AE$12,0)),0)),0)</f>
        <v>0</v>
      </c>
    </row>
    <row r="34" spans="1:31">
      <c r="A34" s="222" t="b">
        <f t="shared" ca="1" si="6"/>
        <v>1</v>
      </c>
      <c r="B34" s="502"/>
      <c r="C34" s="498"/>
      <c r="D34" s="498"/>
      <c r="E34" s="129">
        <f>IF(B34="",0,IF(TYPE(FIND("Střelné zbraně",B34))&lt;&gt;16,Character!$H$20,IF(TYPE(FIND("Vrhací zbraně",B34))&lt;&gt;16,2,1)))</f>
        <v>0</v>
      </c>
      <c r="F34" s="225">
        <v>0</v>
      </c>
      <c r="G34" s="179" t="str">
        <f>IF(OR(TYPE(FIND("Sekery",B34))&lt;&gt;16,TYPE(FIND("Tupé zbraně",B34))&lt;&gt;16),(10+INT((F34+I34)/(IF(AF2="lehké",Character!$H$20,Character!$H$25)/2))*5)/IF(AE14&gt;F34,2,1)-IF(Character!C4="Amazonka",2,0)+IF(TYPE(MATCH("Šermíř",Character!$D$11:$D$15,0))&lt;&gt;16,1,0)-IF(TYPE(MATCH("Učenlivý",Character!D11:D15,0))&lt;&gt;16,1,0),"N/A")</f>
        <v>N/A</v>
      </c>
      <c r="H34" s="129">
        <f t="shared" si="7"/>
        <v>0</v>
      </c>
      <c r="I34" s="225">
        <v>0</v>
      </c>
      <c r="J34" s="179" t="str">
        <f ca="1">IF(B34="Nože", 5+INT((F25+IF(TYPE(MATCH(B25,B33:B42,0))&lt;&gt;16,INDIRECT("I"&amp;MATCH(B25,B33:B42,0)+32),0))/(Character!H20/2))*5-IF(Character!C4="Amazonka",2,0)-IF(TYPE(MATCH("Učenlivý",Character!D11:D15,0))&lt;&gt;16,1,0), IF(OR(TYPE(FIND("Sekery",B34))&lt;&gt;16,TYPE(FIND("Tupé zbraně",B34))&lt;&gt;16),(10+INT((F34+I34)/(IF(AF2="lehké",Character!H$20,Character!H$25)/2))*5)/IF(AE24&gt;I34,2,1)-IF(Character!C4="Amazonka",2,0)+IF(TYPE(MATCH("Šermíř",Character!$D$11:$D$15,0))&lt;&gt;16,1,0)-IF(TYPE(MATCH("Učenlivý",Character!D11:D15,0))&lt;&gt;16,1,0),"N/A"))</f>
        <v>N/A</v>
      </c>
      <c r="K34" s="129">
        <v>0</v>
      </c>
      <c r="L34" s="225">
        <v>0</v>
      </c>
      <c r="M34" s="179" t="str">
        <f>IF(OR(B34="", TYPE(FIND("Sekery",B34))&lt;&gt;16,TYPE(FIND("Tupé zbraně",B34))&lt;&gt;16, B34="Nože"),"N/A",(10+INT((L34+O34)/(IF(AE4="Střelné zbraně",Character!H$20,Character!H$19)/2))*5)/IF(AE34&gt;L34,2,1)-IF(AND(Character!$C$4="Amazonka",B34&lt;&gt;"Střelné zbraně - kuše"),2,0)+IF(TYPE(MATCH("Šermíř",Character!$D$11:$D$15,0))&lt;&gt;16,IF(TYPE(FIND("Meče",B34))&lt;&gt;16,-1,1),0)-IF(TYPE(MATCH("Učenlivý",Character!D11:D15,0))&lt;&gt;16,1,0))</f>
        <v>N/A</v>
      </c>
      <c r="N34" s="129">
        <f t="shared" si="8"/>
        <v>0</v>
      </c>
      <c r="O34" s="225">
        <v>0</v>
      </c>
      <c r="P34" s="179" t="str">
        <f>IF(OR(B34="", TYPE(FIND("Sekery",B34))&lt;&gt;16,TYPE(FIND("Tupé zbraně",B34))&lt;&gt;16, B34="Nože"),"N/A",(10+INT((L34+O34)/(IF(AE4="Střelné zbraně",Character!H$20,Character!H$19)/2))*5)/IF(AE44&gt;O34,2,1)-IF(AND(Character!$C$4="Amazonka",B34&lt;&gt;"Střelné zbraně - kuše"),2,0)+IF(TYPE(MATCH("Šermíř",Character!$D$11:$D$15,0))&lt;&gt;16,IF(TYPE(FIND("Meče",B34))&lt;&gt;16,-1,1),0)-IF(TYPE(MATCH("Učenlivý",Character!D11:D15,0))&lt;&gt;16,1,0))</f>
        <v>N/A</v>
      </c>
      <c r="Q34" s="154">
        <v>0</v>
      </c>
      <c r="R34" s="221">
        <f t="shared" ca="1" si="9"/>
        <v>0</v>
      </c>
      <c r="T34" s="4"/>
      <c r="V34" s="4"/>
      <c r="AA34" s="4" t="e">
        <f t="shared" si="0"/>
        <v>#VALUE!</v>
      </c>
      <c r="AB34" s="4" t="e">
        <f t="shared" si="1"/>
        <v>#VALUE!</v>
      </c>
      <c r="AC34" s="4" t="e">
        <f t="shared" si="2"/>
        <v>#VALUE!</v>
      </c>
      <c r="AD34" s="171" t="s">
        <v>483</v>
      </c>
      <c r="AE34" s="283">
        <f ca="1">MAX(IF(TYPE(MATCH(AE4,AE$3:AE3,0))&lt;&gt;16,MAX(INDIRECT("L"&amp;MATCH(AE4,AE$3:AE3,0)+32),IF(TYPE(MATCH(AE4,INDIRECT("AE"&amp;MATCH(AE4,AE$3:AE3,0)+3):AE3,0))&lt;&gt;16,INDIRECT("L"&amp;MATCH(AE4,INDIRECT("AE"&amp;MATCH(AE4,AE$3:AE3,0)+3):AE3,0)+32+MATCH(AE4,AE$3:AE3,0)),0)),0),IF(TYPE(MATCH(AE4,AE5:AE$12,0))&lt;&gt;16,MAX(INDIRECT("L"&amp;MATCH(AE4,AE5:AE$12,0)+34),IF(TYPE(MATCH(AE4,INDIRECT("AE"&amp;MATCH(AE4,AE5:AE$12,0)+5):AE$12,0))&lt;&gt;16,INDIRECT("L"&amp;MATCH(AE4,INDIRECT("AE"&amp;MATCH(AE4,AE5:AE$12,0)+5):AE$12,0)+34+MATCH(AE4,AE5:AE$12,0)),0)),0))</f>
        <v>0</v>
      </c>
    </row>
    <row r="35" spans="1:31">
      <c r="A35" s="222" t="b">
        <f t="shared" ca="1" si="6"/>
        <v>1</v>
      </c>
      <c r="B35" s="502"/>
      <c r="C35" s="498"/>
      <c r="D35" s="498"/>
      <c r="E35" s="129">
        <f>IF(B35="",0,IF(TYPE(FIND("Střelné zbraně",B35))&lt;&gt;16,Character!$H$20,IF(TYPE(FIND("Vrhací zbraně",B35))&lt;&gt;16,2,1)))</f>
        <v>0</v>
      </c>
      <c r="F35" s="225">
        <v>0</v>
      </c>
      <c r="G35" s="179" t="str">
        <f>IF(OR(TYPE(FIND("Sekery",B35))&lt;&gt;16,TYPE(FIND("Tupé zbraně",B35))&lt;&gt;16),(10+INT((F35+I35)/(IF(AF3="lehké",Character!$H$20,Character!$H$25)/2))*5)/IF(AE15&gt;F35,2,1)-IF(Character!C4="Amazonka",2,0)+IF(TYPE(MATCH("Šermíř",Character!$D$11:$D$15,0))&lt;&gt;16,1,0)-IF(TYPE(MATCH("Učenlivý",Character!D11:D15,0))&lt;&gt;16,1,0),"N/A")</f>
        <v>N/A</v>
      </c>
      <c r="H35" s="129">
        <f t="shared" si="7"/>
        <v>0</v>
      </c>
      <c r="I35" s="225">
        <v>0</v>
      </c>
      <c r="J35" s="179" t="str">
        <f ca="1">IF(B35="Nože", 5+INT((F25+IF(TYPE(MATCH(B25,B33:B42,0))&lt;&gt;16,INDIRECT("I"&amp;MATCH(B25,B33:B42,0)+32),0))/(Character!H20/2))*5-IF(Character!C4="Amazonka",2,0)-IF(TYPE(MATCH("Učenlivý",Character!D11:D15,0))&lt;&gt;16,1,0), IF(OR(TYPE(FIND("Sekery",B35))&lt;&gt;16,TYPE(FIND("Tupé zbraně",B35))&lt;&gt;16),(10+INT((F35+I35)/(IF(AF3="lehké",Character!H$20,Character!H$25)/2))*5)/IF(AE25&gt;I35,2,1)-IF(Character!C4="Amazonka",2,0)+IF(TYPE(MATCH("Šermíř",Character!$D$11:$D$15,0))&lt;&gt;16,1,0)-IF(TYPE(MATCH("Učenlivý",Character!D11:D15,0))&lt;&gt;16,1,0),"N/A"))</f>
        <v>N/A</v>
      </c>
      <c r="K35" s="129">
        <v>0</v>
      </c>
      <c r="L35" s="225">
        <v>0</v>
      </c>
      <c r="M35" s="179" t="str">
        <f>IF(OR(B35="", TYPE(FIND("Sekery",B35))&lt;&gt;16,TYPE(FIND("Tupé zbraně",B35))&lt;&gt;16, B35="Nože"),"N/A",(10+INT((L35+O35)/(IF(AE5="Střelné zbraně",Character!H$20,Character!H$19)/2))*5)/IF(AE35&gt;L35,2,1)-IF(AND(Character!$C$4="Amazonka",B35&lt;&gt;"Střelné zbraně - kuše"),2,0)+IF(TYPE(MATCH("Šermíř",Character!$D$11:$D$15,0))&lt;&gt;16,IF(TYPE(FIND("Meče",B35))&lt;&gt;16,-1,1),0)-IF(TYPE(MATCH("Učenlivý",Character!D11:D15,0))&lt;&gt;16,1,0))</f>
        <v>N/A</v>
      </c>
      <c r="N35" s="129">
        <f t="shared" si="8"/>
        <v>0</v>
      </c>
      <c r="O35" s="225">
        <v>0</v>
      </c>
      <c r="P35" s="179" t="str">
        <f>IF(OR(B35="", TYPE(FIND("Sekery",B35))&lt;&gt;16,TYPE(FIND("Tupé zbraně",B35))&lt;&gt;16, B35="Nože"),"N/A",(10+INT((L35+O35)/(IF(AE5="Střelné zbraně",Character!H$20,Character!H$19)/2))*5)/IF(AE45&gt;O35,2,1)-IF(AND(Character!$C$4="Amazonka",B35&lt;&gt;"Střelné zbraně - kuše"),2,0)+IF(TYPE(MATCH("Šermíř",Character!$D$11:$D$15,0))&lt;&gt;16,IF(TYPE(FIND("Meče",B35))&lt;&gt;16,-1,1),0)-IF(TYPE(MATCH("Učenlivý",Character!D11:D15,0))&lt;&gt;16,1,0))</f>
        <v>N/A</v>
      </c>
      <c r="Q35" s="154">
        <v>0</v>
      </c>
      <c r="R35" s="221">
        <f t="shared" ca="1" si="9"/>
        <v>0</v>
      </c>
      <c r="T35" s="4"/>
      <c r="V35" s="4"/>
      <c r="AA35" s="4" t="e">
        <f t="shared" si="0"/>
        <v>#VALUE!</v>
      </c>
      <c r="AB35" s="4" t="e">
        <f t="shared" si="1"/>
        <v>#VALUE!</v>
      </c>
      <c r="AC35" s="4" t="e">
        <f t="shared" si="2"/>
        <v>#VALUE!</v>
      </c>
      <c r="AD35" s="171" t="s">
        <v>485</v>
      </c>
      <c r="AE35" s="131">
        <f ca="1">MAX(IF(TYPE(MATCH(AE5,AE$3:AE4,0))&lt;&gt;16,MAX(INDIRECT("L"&amp;MATCH(AE5,AE$3:AE4,0)+32),IF(TYPE(MATCH(AE5,INDIRECT("AE"&amp;MATCH(AE5,AE$3:AE4,0)+3):AE4,0))&lt;&gt;16,INDIRECT("L"&amp;MATCH(AE5,INDIRECT("AE"&amp;MATCH(AE5,AE$3:AE4,0)+3):AE4,0)+32+MATCH(AE5,AE$3:AE4,0)),0)),0),IF(TYPE(MATCH(AE5,AE6:AE$12,0))&lt;&gt;16,MAX(INDIRECT("L"&amp;MATCH(AE5,AE6:AE$12,0)+35),IF(TYPE(MATCH(AE5,INDIRECT("AE"&amp;MATCH(AE5,AE6:AE$12,0)+6):AE$12,0))&lt;&gt;16,INDIRECT("L"&amp;MATCH(AE5,INDIRECT("AE"&amp;MATCH(AE5,AE6:AE$12,0)+6):AE$12,0)+35+MATCH(AE5,AE6:AE$12,0)),0)),0))</f>
        <v>0</v>
      </c>
    </row>
    <row r="36" spans="1:31">
      <c r="A36" s="222" t="b">
        <f t="shared" ca="1" si="6"/>
        <v>1</v>
      </c>
      <c r="B36" s="502"/>
      <c r="C36" s="498"/>
      <c r="D36" s="498"/>
      <c r="E36" s="129">
        <f>IF(B36="",0,IF(TYPE(FIND("Střelné zbraně",B36))&lt;&gt;16,Character!$H$20,IF(TYPE(FIND("Vrhací zbraně",B36))&lt;&gt;16,2,1)))</f>
        <v>0</v>
      </c>
      <c r="F36" s="225">
        <v>0</v>
      </c>
      <c r="G36" s="179" t="str">
        <f>IF(OR(TYPE(FIND("Sekery",B36))&lt;&gt;16,TYPE(FIND("Tupé zbraně",B36))&lt;&gt;16),(10+INT((F36+I36)/(IF(AF4="lehké",Character!$H$20,Character!$H$25)/2))*5)/IF(AE16&gt;F36,2,1)-IF(Character!C4="Amazonka",2,0)+IF(TYPE(MATCH("Šermíř",Character!$D$11:$D$15,0))&lt;&gt;16,1,0)-IF(TYPE(MATCH("Učenlivý",Character!D11:D15,0))&lt;&gt;16,1,0),"N/A")</f>
        <v>N/A</v>
      </c>
      <c r="H36" s="129">
        <f t="shared" si="7"/>
        <v>0</v>
      </c>
      <c r="I36" s="225">
        <v>0</v>
      </c>
      <c r="J36" s="179" t="str">
        <f ca="1">IF(B36="Nože", 5+INT((F25+IF(TYPE(MATCH(B25,B33:B42,0))&lt;&gt;16,INDIRECT("I"&amp;MATCH(B25,B33:B42,0)+32),0))/(Character!H20/2))*5-IF(Character!C4="Amazonka",2,0)-IF(TYPE(MATCH("Učenlivý",Character!D11:D15,0))&lt;&gt;16,1,0), IF(OR(TYPE(FIND("Sekery",B36))&lt;&gt;16,TYPE(FIND("Tupé zbraně",B36))&lt;&gt;16),(10+INT((F36+I36)/(IF(AF4="lehké",Character!H$20,Character!H$25)/2))*5)/IF(AE26&gt;I36,2,1)-IF(Character!C4="Amazonka",2,0)+IF(TYPE(MATCH("Šermíř",Character!$D$11:$D$15,0))&lt;&gt;16,1,0)-IF(TYPE(MATCH("Učenlivý",Character!D11:D15,0))&lt;&gt;16,1,0),"N/A"))</f>
        <v>N/A</v>
      </c>
      <c r="K36" s="129">
        <v>0</v>
      </c>
      <c r="L36" s="225">
        <v>0</v>
      </c>
      <c r="M36" s="179" t="str">
        <f>IF(OR(B36="", TYPE(FIND("Sekery",B36))&lt;&gt;16,TYPE(FIND("Tupé zbraně",B36))&lt;&gt;16, B36="Nože"),"N/A",(10+INT((L36+O36)/(IF(AE6="Střelné zbraně",Character!H$20,Character!H$19)/2))*5)/IF(AE36&gt;L36,2,1)-IF(AND(Character!$C$4="Amazonka",B36&lt;&gt;"Střelné zbraně - kuše"),2,0)+IF(TYPE(MATCH("Šermíř",Character!$D$11:$D$15,0))&lt;&gt;16,IF(TYPE(FIND("Meče",B36))&lt;&gt;16,-1,1),0)-IF(TYPE(MATCH("Učenlivý",Character!D11:D15,0))&lt;&gt;16,1,0))</f>
        <v>N/A</v>
      </c>
      <c r="N36" s="129">
        <f t="shared" si="8"/>
        <v>0</v>
      </c>
      <c r="O36" s="225">
        <v>0</v>
      </c>
      <c r="P36" s="179" t="str">
        <f>IF(OR(B36="", TYPE(FIND("Sekery",B36))&lt;&gt;16,TYPE(FIND("Tupé zbraně",B36))&lt;&gt;16, B36="Nože"),"N/A",(10+INT((L36+O36)/(IF(AE6="Střelné zbraně",Character!H$20,Character!H$19)/2))*5)/IF(AE46&gt;O36,2,1)-IF(AND(Character!$C$4="Amazonka",B36&lt;&gt;"Střelné zbraně - kuše"),2,0)+IF(TYPE(MATCH("Šermíř",Character!$D$11:$D$15,0))&lt;&gt;16,IF(TYPE(FIND("Meče",B36))&lt;&gt;16,-1,1),0)-IF(TYPE(MATCH("Učenlivý",Character!D11:D15,0))&lt;&gt;16,1,0))</f>
        <v>N/A</v>
      </c>
      <c r="Q36" s="154">
        <v>0</v>
      </c>
      <c r="R36" s="221">
        <f ca="1">IF(B36&lt;&gt;"",INDIRECT("$D$"&amp;MATCH(IF(B36="Nože","Nože",LEFT(B36,FIND(" -",B36)-1)),$B$25:$B$31,0)+24),0)+Q36</f>
        <v>0</v>
      </c>
      <c r="T36" s="4"/>
      <c r="V36" s="4"/>
      <c r="AA36" s="4" t="e">
        <f t="shared" si="0"/>
        <v>#VALUE!</v>
      </c>
      <c r="AB36" s="4" t="e">
        <f t="shared" si="1"/>
        <v>#VALUE!</v>
      </c>
      <c r="AC36" s="4" t="e">
        <f t="shared" si="2"/>
        <v>#VALUE!</v>
      </c>
      <c r="AD36" s="171" t="s">
        <v>486</v>
      </c>
      <c r="AE36" s="283">
        <f ca="1">MAX(IF(TYPE(MATCH(AE6,AE$3:AE5,0))&lt;&gt;16,MAX(INDIRECT("L"&amp;MATCH(AE6,AE$3:AE5,0)+32),IF(TYPE(MATCH(AE6,INDIRECT("AE"&amp;MATCH(AE6,AE$3:AE5,0)+3):AE5,0))&lt;&gt;16,INDIRECT("L"&amp;MATCH(AE6,INDIRECT("AE"&amp;MATCH(AE6,AE$3:AE5,0)+3):AE5,0)+32+MATCH(AE6,AE$3:AE5,0)),0)),0),IF(TYPE(MATCH(AE6,AE7:AE$12,0))&lt;&gt;16,MAX(INDIRECT("L"&amp;MATCH(AE6,AE7:AE$12,0)+36),IF(TYPE(MATCH(AE6,INDIRECT("AE"&amp;MATCH(AE6,AE7:AE$12,0)+7):AE$12,0))&lt;&gt;16,INDIRECT("L"&amp;MATCH(AE6,INDIRECT("AE"&amp;MATCH(AE6,AE7:AE$12,0)+7):AE$12,0)+36+MATCH(AE6,AE7:AE$12,0)),0)),0))</f>
        <v>0</v>
      </c>
    </row>
    <row r="37" spans="1:31">
      <c r="A37" s="222" t="b">
        <f t="shared" ca="1" si="6"/>
        <v>1</v>
      </c>
      <c r="B37" s="502"/>
      <c r="C37" s="498"/>
      <c r="D37" s="498"/>
      <c r="E37" s="129">
        <f>IF(B37="",0,IF(TYPE(FIND("Střelné zbraně",B37))&lt;&gt;16,Character!$H$20,IF(TYPE(FIND("Vrhací zbraně",B37))&lt;&gt;16,2,1)))</f>
        <v>0</v>
      </c>
      <c r="F37" s="225">
        <v>0</v>
      </c>
      <c r="G37" s="179" t="str">
        <f>IF(OR(TYPE(FIND("Sekery",B37))&lt;&gt;16,TYPE(FIND("Tupé zbraně",B37))&lt;&gt;16),(10+INT((F37+I37)/(IF(AF5="lehké",Character!$H$20,Character!$H$25)/2))*5)/IF(AE17&gt;F37,2,1)-IF(Character!C4="Amazonka",2,0)+IF(TYPE(MATCH("Šermíř",Character!$D$11:$D$15,0))&lt;&gt;16,1,0)-IF(TYPE(MATCH("Učenlivý",Character!D11:D15,0))&lt;&gt;16,1,0),"N/A")</f>
        <v>N/A</v>
      </c>
      <c r="H37" s="129">
        <f t="shared" si="7"/>
        <v>0</v>
      </c>
      <c r="I37" s="225">
        <v>0</v>
      </c>
      <c r="J37" s="179" t="str">
        <f ca="1">IF(B37="Nože", 5+INT((F25+IF(TYPE(MATCH(B25,B33:B42,0))&lt;&gt;16,INDIRECT("I"&amp;MATCH(B25,B33:B42,0)+32),0))/(Character!H20/2))*5-IF(Character!C4="Amazonka",2,0)-IF(TYPE(MATCH("Učenlivý",Character!D11:D15,0))&lt;&gt;16,1,0), IF(OR(TYPE(FIND("Sekery",B37))&lt;&gt;16,TYPE(FIND("Tupé zbraně",B37))&lt;&gt;16),(10+INT((F37+I37)/(IF(AF5="lehké",Character!H$20,Character!H$25)/2))*5)/IF(AE27&gt;I37,2,1)-IF(Character!C4="Amazonka",2,0)+IF(TYPE(MATCH("Šermíř",Character!$D$11:$D$15,0))&lt;&gt;16,1,0)-IF(TYPE(MATCH("Učenlivý",Character!D11:D15,0))&lt;&gt;16,1,0),"N/A"))</f>
        <v>N/A</v>
      </c>
      <c r="K37" s="129">
        <v>0</v>
      </c>
      <c r="L37" s="225">
        <v>0</v>
      </c>
      <c r="M37" s="179" t="str">
        <f>IF(OR(B37="", TYPE(FIND("Sekery",B37))&lt;&gt;16,TYPE(FIND("Tupé zbraně",B37))&lt;&gt;16, B37="Nože"),"N/A",(10+INT((L37+O37)/(IF(AE7="Střelné zbraně",Character!H$20,Character!H$19)/2))*5)/IF(AE37&gt;L37,2,1)-IF(AND(Character!$C$4="Amazonka",B37&lt;&gt;"Střelné zbraně - kuše"),2,0)+IF(TYPE(MATCH("Šermíř",Character!$D$11:$D$15,0))&lt;&gt;16,IF(TYPE(FIND("Meče",B37))&lt;&gt;16,-1,1),0)-IF(TYPE(MATCH("Učenlivý",Character!D11:D15,0))&lt;&gt;16,1,0))</f>
        <v>N/A</v>
      </c>
      <c r="N37" s="129">
        <f t="shared" si="8"/>
        <v>0</v>
      </c>
      <c r="O37" s="225">
        <v>0</v>
      </c>
      <c r="P37" s="179" t="str">
        <f>IF(OR(B37="", TYPE(FIND("Sekery",B37))&lt;&gt;16,TYPE(FIND("Tupé zbraně",B37))&lt;&gt;16, B37="Nože"),"N/A",(10+INT((L37+O37)/(IF(AE7="Střelné zbraně",Character!H$20,Character!H$19)/2))*5)/IF(AE47&gt;O37,2,1)-IF(AND(Character!$C$4="Amazonka",B37&lt;&gt;"Střelné zbraně - kuše"),2,0)+IF(TYPE(MATCH("Šermíř",Character!$D$11:$D$15,0))&lt;&gt;16,IF(TYPE(FIND("Meče",B37))&lt;&gt;16,-1,1),0)-IF(TYPE(MATCH("Učenlivý",Character!D11:D15,0))&lt;&gt;16,1,0))</f>
        <v>N/A</v>
      </c>
      <c r="Q37" s="154">
        <v>0</v>
      </c>
      <c r="R37" s="221">
        <f t="shared" ca="1" si="9"/>
        <v>0</v>
      </c>
      <c r="T37" s="4"/>
      <c r="U37" s="4"/>
      <c r="V37" s="4"/>
      <c r="AA37" s="4" t="e">
        <f t="shared" si="0"/>
        <v>#VALUE!</v>
      </c>
      <c r="AB37" s="4" t="e">
        <f t="shared" si="1"/>
        <v>#VALUE!</v>
      </c>
      <c r="AC37" s="4" t="e">
        <f t="shared" si="2"/>
        <v>#VALUE!</v>
      </c>
      <c r="AD37" s="171" t="s">
        <v>487</v>
      </c>
      <c r="AE37" s="283">
        <f ca="1">MAX(IF(TYPE(MATCH(AE7,AE$3:AE6,0))&lt;&gt;16,MAX(INDIRECT("L"&amp;MATCH(AE7,AE$3:AE6,0)+32),IF(TYPE(MATCH(AE7,INDIRECT("AE"&amp;MATCH(AE7,AE$3:AE6,0)+3):AE6,0))&lt;&gt;16,INDIRECT("L"&amp;MATCH(AE7,INDIRECT("AE"&amp;MATCH(AE7,AE$3:AE6,0)+3):AE6,0)+32+MATCH(AE7,AE$3:AE6,0)),0)),0),IF(TYPE(MATCH(AE7,AE8:AE$12,0))&lt;&gt;16,MAX(INDIRECT("L"&amp;MATCH(AE7,AE8:AE$12,0)+37),IF(TYPE(MATCH(AE7,INDIRECT("AE"&amp;MATCH(AE7,AE8:AE$12,0)+8):AE$12,0))&lt;&gt;16,INDIRECT("L"&amp;MATCH(AE7,INDIRECT("AE"&amp;MATCH(AE7,AE8:AE$12,0)+8):AE$12,0)+37+MATCH(AE7,AE8:AE$12,0)),0)),0))</f>
        <v>0</v>
      </c>
    </row>
    <row r="38" spans="1:31">
      <c r="A38" s="222" t="b">
        <f t="shared" ca="1" si="6"/>
        <v>1</v>
      </c>
      <c r="B38" s="502"/>
      <c r="C38" s="498"/>
      <c r="D38" s="498"/>
      <c r="E38" s="129">
        <f>IF(B38="",0,IF(TYPE(FIND("Střelné zbraně",B38))&lt;&gt;16,Character!$H$20,IF(TYPE(FIND("Vrhací zbraně",B38))&lt;&gt;16,2,1)))</f>
        <v>0</v>
      </c>
      <c r="F38" s="225">
        <v>0</v>
      </c>
      <c r="G38" s="179" t="str">
        <f>IF(OR(TYPE(FIND("Sekery",B38))&lt;&gt;16,TYPE(FIND("Tupé zbraně",B38))&lt;&gt;16),(10+INT((F38+I38)/(IF(AF6="lehké",Character!$H$20,Character!$H$25)/2))*5)/IF(AE18&gt;F38,2,1)-IF(Character!C4="Amazonka",2,0)+IF(TYPE(MATCH("Šermíř",Character!$D$11:$D$15,0))&lt;&gt;16,1,0)-IF(TYPE(MATCH("Učenlivý",Character!D11:D15,0))&lt;&gt;16,1,0),"N/A")</f>
        <v>N/A</v>
      </c>
      <c r="H38" s="129">
        <f t="shared" si="7"/>
        <v>0</v>
      </c>
      <c r="I38" s="225">
        <v>0</v>
      </c>
      <c r="J38" s="179" t="str">
        <f ca="1">IF(B38="Nože", 5+INT((F25+IF(TYPE(MATCH(B25,B33:B42,0))&lt;&gt;16,INDIRECT("I"&amp;MATCH(B25,B33:B42,0)+32),0))/(Character!H20/2))*5-IF(Character!C4="Amazonka",2,0)-IF(TYPE(MATCH("Učenlivý",Character!D11:D15,0))&lt;&gt;16,1,0), IF(OR(TYPE(FIND("Sekery",B38))&lt;&gt;16,TYPE(FIND("Tupé zbraně",B38))&lt;&gt;16),(10+INT((F38+I38)/(IF(AF6="lehké",Character!H$20,Character!H$25)/2))*5)/IF(AE28&gt;I38,2,1)-IF(Character!C4="Amazonka",2,0)+IF(TYPE(MATCH("Šermíř",Character!$D$11:$D$15,0))&lt;&gt;16,1,0)-IF(TYPE(MATCH("Učenlivý",Character!D11:D15,0))&lt;&gt;16,1,0),"N/A"))</f>
        <v>N/A</v>
      </c>
      <c r="K38" s="129">
        <v>0</v>
      </c>
      <c r="L38" s="225">
        <v>0</v>
      </c>
      <c r="M38" s="179" t="str">
        <f>IF(OR(B38="", TYPE(FIND("Sekery",B38))&lt;&gt;16,TYPE(FIND("Tupé zbraně",B38))&lt;&gt;16, B38="Nože"),"N/A",(10+INT((L38+O38)/(IF(AE8="Střelné zbraně",Character!H$20,Character!H$19)/2))*5)/IF(AE38&gt;L38,2,1)-IF(AND(Character!$C$4="Amazonka",B38&lt;&gt;"Střelné zbraně - kuše"),2,0)+IF(TYPE(MATCH("Šermíř",Character!$D$11:$D$15,0))&lt;&gt;16,IF(TYPE(FIND("Meče",B38))&lt;&gt;16,-1,1),0)-IF(TYPE(MATCH("Učenlivý",Character!D11:D15,0))&lt;&gt;16,1,0))</f>
        <v>N/A</v>
      </c>
      <c r="N38" s="129">
        <f t="shared" si="8"/>
        <v>0</v>
      </c>
      <c r="O38" s="225">
        <v>0</v>
      </c>
      <c r="P38" s="179" t="str">
        <f>IF(OR(B38="", TYPE(FIND("Sekery",B38))&lt;&gt;16,TYPE(FIND("Tupé zbraně",B38))&lt;&gt;16, B38="Nože"),"N/A",(10+INT((L38+O38)/(IF(AE8="Střelné zbraně",Character!H$20,Character!H$19)/2))*5)/IF(AE48&gt;O38,2,1)-IF(AND(Character!$C$4="Amazonka",B38&lt;&gt;"Střelné zbraně - kuše"),2,0)+IF(TYPE(MATCH("Šermíř",Character!$D$11:$D$15,0))&lt;&gt;16,IF(TYPE(FIND("Meče",B38))&lt;&gt;16,-1,1),0)-IF(TYPE(MATCH("Učenlivý",Character!D11:D15,0))&lt;&gt;16,1,0))</f>
        <v>N/A</v>
      </c>
      <c r="Q38" s="154">
        <v>0</v>
      </c>
      <c r="R38" s="221">
        <f t="shared" ca="1" si="9"/>
        <v>0</v>
      </c>
      <c r="T38" s="4"/>
      <c r="U38" s="4"/>
      <c r="V38" s="4"/>
      <c r="AA38" s="4" t="e">
        <f t="shared" si="0"/>
        <v>#VALUE!</v>
      </c>
      <c r="AB38" s="4" t="e">
        <f t="shared" si="1"/>
        <v>#VALUE!</v>
      </c>
      <c r="AC38" s="4" t="e">
        <f t="shared" si="2"/>
        <v>#VALUE!</v>
      </c>
      <c r="AE38" s="283">
        <f ca="1">MAX(IF(TYPE(MATCH(AE8,AE$3:AE7,0))&lt;&gt;16,MAX(INDIRECT("L"&amp;MATCH(AE8,AE$3:AE7,0)+32),IF(TYPE(MATCH(AE8,INDIRECT("AE"&amp;MATCH(AE8,AE$3:AE7,0)+3):AE7,0))&lt;&gt;16,INDIRECT("L"&amp;MATCH(AE8,INDIRECT("AE"&amp;MATCH(AE8,AE$3:AE7,0)+3):AE7,0)+32+MATCH(AE8,AE$3:AE7,0)),0)),0),IF(TYPE(MATCH(AE8,AE9:AE$12,0))&lt;&gt;16,MAX(INDIRECT("L"&amp;MATCH(AE8,AE9:AE$12,0)+38),IF(TYPE(MATCH(AE8,INDIRECT("AE"&amp;MATCH(AE8,AE9:AE$12,0)+9):AE$12,0))&lt;&gt;16,INDIRECT("L"&amp;MATCH(AE8,INDIRECT("AE"&amp;MATCH(AE8,AE9:AE$12,0)+9):AE$12,0)+38+MATCH(AE8,AE9:AE$12,0)),0)),0))</f>
        <v>0</v>
      </c>
    </row>
    <row r="39" spans="1:31">
      <c r="A39" s="222" t="b">
        <f t="shared" ca="1" si="6"/>
        <v>1</v>
      </c>
      <c r="B39" s="502"/>
      <c r="C39" s="498"/>
      <c r="D39" s="498"/>
      <c r="E39" s="129">
        <f>IF(B39="",0,IF(TYPE(FIND("Střelné zbraně",B39))&lt;&gt;16,Character!$H$20,IF(TYPE(FIND("Vrhací zbraně",B39))&lt;&gt;16,2,1)))</f>
        <v>0</v>
      </c>
      <c r="F39" s="225">
        <v>0</v>
      </c>
      <c r="G39" s="179" t="str">
        <f>IF(OR(TYPE(FIND("Sekery",B39))&lt;&gt;16,TYPE(FIND("Tupé zbraně",B39))&lt;&gt;16),(10+INT((F39+I39)/(IF(AF7="lehké",Character!$H$20,Character!$H$25)/2))*5)/IF(AE19&gt;F39,2,1)-IF(Character!C4="Amazonka",2,0)+IF(TYPE(MATCH("Šermíř",Character!$D$11:$D$15,0))&lt;&gt;16,1,0)-IF(TYPE(MATCH("Učenlivý",Character!D11:D15,0))&lt;&gt;16,1,0),"N/A")</f>
        <v>N/A</v>
      </c>
      <c r="H39" s="129">
        <f t="shared" si="7"/>
        <v>0</v>
      </c>
      <c r="I39" s="225">
        <v>0</v>
      </c>
      <c r="J39" s="179" t="str">
        <f ca="1">IF(B39="Nože", 5+INT((F25+IF(TYPE(MATCH(B25,B33:B42,0))&lt;&gt;16,INDIRECT("I"&amp;MATCH(B25,B33:B42,0)+32),0))/(Character!H20/2))*5-IF(Character!C4="Amazonka",2,0)-IF(TYPE(MATCH("Učenlivý",Character!D11:D15,0))&lt;&gt;16,1,0), IF(OR(TYPE(FIND("Sekery",B39))&lt;&gt;16,TYPE(FIND("Tupé zbraně",B39))&lt;&gt;16),(10+INT((F39+I39)/(IF(AF7="lehké",Character!H$20,Character!H$25)/2))*5)/IF(AE29&gt;I39,2,1)-IF(Character!C4="Amazonka",2,0)+IF(TYPE(MATCH("Šermíř",Character!$D$11:$D$15,0))&lt;&gt;16,1,0)-IF(TYPE(MATCH("Učenlivý",Character!D11:D15,0))&lt;&gt;16,1,0),"N/A"))</f>
        <v>N/A</v>
      </c>
      <c r="K39" s="129">
        <v>0</v>
      </c>
      <c r="L39" s="225">
        <v>0</v>
      </c>
      <c r="M39" s="179" t="str">
        <f>IF(OR(B39="", TYPE(FIND("Sekery",B39))&lt;&gt;16,TYPE(FIND("Tupé zbraně",B39))&lt;&gt;16, B39="Nože"),"N/A",(10+INT((L39+O39)/(IF(AE9="Střelné zbraně",Character!H$20,Character!H$19)/2))*5)/IF(AE39&gt;L39,2,1)-IF(AND(Character!$C$4="Amazonka",B39&lt;&gt;"Střelné zbraně - kuše"),2,0)+IF(TYPE(MATCH("Šermíř",Character!$D$11:$D$15,0))&lt;&gt;16,IF(TYPE(FIND("Meče",B39))&lt;&gt;16,-1,1),0)-IF(TYPE(MATCH("Učenlivý",Character!D11:D15,0))&lt;&gt;16,1,0))</f>
        <v>N/A</v>
      </c>
      <c r="N39" s="129">
        <f t="shared" si="8"/>
        <v>0</v>
      </c>
      <c r="O39" s="225">
        <v>0</v>
      </c>
      <c r="P39" s="179" t="str">
        <f>IF(OR(B39="", TYPE(FIND("Sekery",B39))&lt;&gt;16,TYPE(FIND("Tupé zbraně",B39))&lt;&gt;16, B39="Nože"),"N/A",(10+INT((L39+O39)/(IF(AE9="Střelné zbraně",Character!H$20,Character!H$19)/2))*5)/IF(AE49&gt;O39,2,1)-IF(AND(Character!$C$4="Amazonka",B39&lt;&gt;"Střelné zbraně - kuše"),2,0)+IF(TYPE(MATCH("Šermíř",Character!$D$11:$D$15,0))&lt;&gt;16,IF(TYPE(FIND("Meče",B39))&lt;&gt;16,-1,1),0)-IF(TYPE(MATCH("Učenlivý",Character!D11:D15,0))&lt;&gt;16,1,0))</f>
        <v>N/A</v>
      </c>
      <c r="Q39" s="154">
        <v>0</v>
      </c>
      <c r="R39" s="221">
        <f t="shared" ca="1" si="9"/>
        <v>0</v>
      </c>
      <c r="T39" s="4"/>
      <c r="U39" s="4"/>
      <c r="V39" s="4"/>
      <c r="AA39" s="4" t="e">
        <f t="shared" si="0"/>
        <v>#VALUE!</v>
      </c>
      <c r="AB39" s="4" t="e">
        <f t="shared" si="1"/>
        <v>#VALUE!</v>
      </c>
      <c r="AC39" s="4" t="e">
        <f t="shared" si="2"/>
        <v>#VALUE!</v>
      </c>
      <c r="AE39" s="283">
        <f ca="1">MAX(IF(TYPE(MATCH(AE9,AE$3:AE8,0))&lt;&gt;16,MAX(INDIRECT("L"&amp;MATCH(AE9,AE$3:AE8,0)+32),IF(TYPE(MATCH(AE9,INDIRECT("AE"&amp;MATCH(AE9,AE$3:AE8,0)+3):AE8,0))&lt;&gt;16,INDIRECT("L"&amp;MATCH(AE9,INDIRECT("AE"&amp;MATCH(AE9,AE$3:AE8,0)+3):AE8,0)+32+MATCH(AE9,AE$3:AE8,0)),0)),0),IF(TYPE(MATCH(AE9,AE10:AE$12,0))&lt;&gt;16,MAX(INDIRECT("L"&amp;MATCH(AE9,AE10:AE$12,0)+39),IF(TYPE(MATCH(AE9,INDIRECT("AE"&amp;MATCH(AE9,AE10:AE$12,0)+10):AE$12,0))&lt;&gt;16,INDIRECT("L"&amp;MATCH(AE9,INDIRECT("AE"&amp;MATCH(AE9,AE10:AE$12,0)+10):AE$12,0)+39+MATCH(AE9,AE10:AE$12,0)),0)),0))</f>
        <v>0</v>
      </c>
    </row>
    <row r="40" spans="1:31">
      <c r="A40" s="222" t="b">
        <f t="shared" ca="1" si="6"/>
        <v>1</v>
      </c>
      <c r="B40" s="502"/>
      <c r="C40" s="498"/>
      <c r="D40" s="498"/>
      <c r="E40" s="129">
        <f>IF(B40="",0,IF(TYPE(FIND("Střelné zbraně",B40))&lt;&gt;16,Character!$H$20,IF(TYPE(FIND("Vrhací zbraně",B40))&lt;&gt;16,2,1)))</f>
        <v>0</v>
      </c>
      <c r="F40" s="225">
        <v>0</v>
      </c>
      <c r="G40" s="179" t="str">
        <f>IF(OR(TYPE(FIND("Sekery",B40))&lt;&gt;16,TYPE(FIND("Tupé zbraně",B40))&lt;&gt;16),(10+INT((F40+I40)/(IF(AF8="lehké",Character!$H$20,Character!$H$25)/2))*5)/IF(AE20&gt;F40,2,1)-IF(Character!C4="Amazonka",2,0)+IF(TYPE(MATCH("Šermíř",Character!$D$11:$D$15,0))&lt;&gt;16,1,0)-IF(TYPE(MATCH("Učenlivý",Character!D11:D15,0))&lt;&gt;16,1,0),"N/A")</f>
        <v>N/A</v>
      </c>
      <c r="H40" s="129">
        <f t="shared" si="7"/>
        <v>0</v>
      </c>
      <c r="I40" s="225">
        <v>0</v>
      </c>
      <c r="J40" s="179" t="str">
        <f ca="1">IF(B40="Nože", 5+INT((F25+IF(TYPE(MATCH(B25,B33:B42,0))&lt;&gt;16,INDIRECT("I"&amp;MATCH(B25,B33:B42,0)+32),0))/(Character!H20/2))*5-IF(Character!C4="Amazonka",2,0)-IF(TYPE(MATCH("Učenlivý",Character!D11:D15,0))&lt;&gt;16,1,0), IF(OR(TYPE(FIND("Sekery",B40))&lt;&gt;16,TYPE(FIND("Tupé zbraně",B40))&lt;&gt;16),(10+INT((F40+I40)/(IF(AF8="lehké",Character!H$20,Character!H$25)/2))*5)/IF(AE30&gt;I40,2,1)-IF(Character!C4="Amazonka",2,0)+IF(TYPE(MATCH("Šermíř",Character!$D$11:$D$15,0))&lt;&gt;16,1,0)-IF(TYPE(MATCH("Učenlivý",Character!D11:D15,0))&lt;&gt;16,1,0),"N/A"))</f>
        <v>N/A</v>
      </c>
      <c r="K40" s="129">
        <v>0</v>
      </c>
      <c r="L40" s="225">
        <v>0</v>
      </c>
      <c r="M40" s="179" t="str">
        <f>IF(OR(B40="", TYPE(FIND("Sekery",B40))&lt;&gt;16,TYPE(FIND("Tupé zbraně",B40))&lt;&gt;16, B40="Nože"),"N/A",(10+INT((L40+O40)/(IF(AE10="Střelné zbraně",Character!H$20,Character!H$19)/2))*5)/IF(AE40&gt;L40,2,1)-IF(AND(Character!$C$4="Amazonka",B40&lt;&gt;"Střelné zbraně - kuše"),2,0)+IF(TYPE(MATCH("Šermíř",Character!$D$11:$D$15,0))&lt;&gt;16,IF(TYPE(FIND("Meče",B40))&lt;&gt;16,-1,1),0)-IF(TYPE(MATCH("Učenlivý",Character!D11:D15,0))&lt;&gt;16,1,0))</f>
        <v>N/A</v>
      </c>
      <c r="N40" s="129">
        <f t="shared" si="8"/>
        <v>0</v>
      </c>
      <c r="O40" s="225">
        <v>0</v>
      </c>
      <c r="P40" s="179" t="str">
        <f>IF(OR(B40="", TYPE(FIND("Sekery",B40))&lt;&gt;16,TYPE(FIND("Tupé zbraně",B40))&lt;&gt;16, B40="Nože"),"N/A",(10+INT((L40+O40)/(IF(AE10="Střelné zbraně",Character!H$20,Character!H$19)/2))*5)/IF(AE50&gt;O40,2,1)-IF(AND(Character!$C$4="Amazonka",B40&lt;&gt;"Střelné zbraně - kuše"),2,0)+IF(TYPE(MATCH("Šermíř",Character!$D$11:$D$15,0))&lt;&gt;16,IF(TYPE(FIND("Meče",B40))&lt;&gt;16,-1,1),0)-IF(TYPE(MATCH("Učenlivý",Character!D11:D15,0))&lt;&gt;16,1,0))</f>
        <v>N/A</v>
      </c>
      <c r="Q40" s="154">
        <v>0</v>
      </c>
      <c r="R40" s="221">
        <f t="shared" ca="1" si="9"/>
        <v>0</v>
      </c>
      <c r="T40" s="4"/>
      <c r="U40" s="4"/>
      <c r="V40" s="4"/>
      <c r="AA40" s="4" t="e">
        <f t="shared" si="0"/>
        <v>#VALUE!</v>
      </c>
      <c r="AB40" s="4" t="e">
        <f t="shared" si="1"/>
        <v>#VALUE!</v>
      </c>
      <c r="AC40" s="4" t="e">
        <f t="shared" si="2"/>
        <v>#VALUE!</v>
      </c>
      <c r="AE40" s="283">
        <f ca="1">MAX(IF(TYPE(MATCH(AE10,AE$3:AE9,0))&lt;&gt;16,MAX(INDIRECT("L"&amp;MATCH(AE10,AE$3:AE9,0)+32),IF(TYPE(MATCH(AE10,INDIRECT("AE"&amp;MATCH(AE10,AE$3:AE9,0)+3):AE9,0))&lt;&gt;16,INDIRECT("L"&amp;MATCH(AE10,INDIRECT("AE"&amp;MATCH(AE10,AE$3:AE9,0)+3):AE9,0)+32+MATCH(AE10,AE$3:AE9,0)),0)),0),IF(TYPE(MATCH(AE10,AE11:AE$12,0))&lt;&gt;16,MAX(INDIRECT("L"&amp;MATCH(AE10,AE11:AE$12,0)+40),IF(TYPE(MATCH(AE10,INDIRECT("AE"&amp;MATCH(AE10,AE11:AE$12,0)+11):AE$12,0))&lt;&gt;16,INDIRECT("L"&amp;MATCH(AE10,INDIRECT("AE"&amp;MATCH(AE10,AE11:AE$12,0)+11):AE$12,0)+40+MATCH(AE10,AE11:AE$12,0)),0)),0))</f>
        <v>0</v>
      </c>
    </row>
    <row r="41" spans="1:31">
      <c r="A41" s="222" t="b">
        <f t="shared" ca="1" si="6"/>
        <v>1</v>
      </c>
      <c r="B41" s="502"/>
      <c r="C41" s="498"/>
      <c r="D41" s="498"/>
      <c r="E41" s="129">
        <f>IF(B41="",0,IF(TYPE(FIND("Střelné zbraně",B41))&lt;&gt;16,Character!$H$20,IF(TYPE(FIND("Vrhací zbraně",B41))&lt;&gt;16,2,1)))</f>
        <v>0</v>
      </c>
      <c r="F41" s="225">
        <v>0</v>
      </c>
      <c r="G41" s="179" t="str">
        <f>IF(OR(TYPE(FIND("Sekery",B41))&lt;&gt;16,TYPE(FIND("Tupé zbraně",B41))&lt;&gt;16),(10+INT((F41+I41)/(IF(AF9="lehké",Character!$H$20,Character!$H$25)/2))*5)/IF(AE21&gt;F41,2,1)-IF(Character!C4="Amazonka",2,0)+IF(TYPE(MATCH("Šermíř",Character!$D$11:$D$15,0))&lt;&gt;16,1,0)-IF(TYPE(MATCH("Učenlivý",Character!D11:D15,0))&lt;&gt;16,1,0),"N/A")</f>
        <v>N/A</v>
      </c>
      <c r="H41" s="129">
        <f t="shared" si="7"/>
        <v>0</v>
      </c>
      <c r="I41" s="225">
        <v>0</v>
      </c>
      <c r="J41" s="179" t="str">
        <f ca="1">IF(B41="Nože", 5+INT((F25+IF(TYPE(MATCH(B25,B33:B42,0))&lt;&gt;16,INDIRECT("I"&amp;MATCH(B25,B33:B42,0)+32),0))/(Character!H20/2))*5-IF(Character!C4="Amazonka",2,0)-IF(TYPE(MATCH("Učenlivý",Character!D11:D15,0))&lt;&gt;16,1,0), IF(OR(TYPE(FIND("Sekery",B41))&lt;&gt;16,TYPE(FIND("Tupé zbraně",B41))&lt;&gt;16),(10+INT((F41+I41)/(IF(AF9="lehké",Character!H$20,Character!H$25)/2))*5)/IF(AE31&gt;I41,2,1)-IF(Character!C4="Amazonka",2,0)+IF(TYPE(MATCH("Šermíř",Character!$D$11:$D$15,0))&lt;&gt;16,1,0)-IF(TYPE(MATCH("Učenlivý",Character!D11:D15,0))&lt;&gt;16,1,0),"N/A"))</f>
        <v>N/A</v>
      </c>
      <c r="K41" s="129">
        <v>0</v>
      </c>
      <c r="L41" s="225">
        <v>0</v>
      </c>
      <c r="M41" s="179" t="str">
        <f>IF(OR(B41="", TYPE(FIND("Sekery",B41))&lt;&gt;16,TYPE(FIND("Tupé zbraně",B41))&lt;&gt;16, B41="Nože"),"N/A",(10+INT((L41+O41)/(IF(AE11="Střelné zbraně",Character!H$20,Character!H$19)/2))*5)/IF(AE41&gt;L41,2,1)-IF(AND(Character!$C$4="Amazonka",B41&lt;&gt;"Střelné zbraně - kuše"),2,0)+IF(TYPE(MATCH("Šermíř",Character!$D$11:$D$15,0))&lt;&gt;16,IF(TYPE(FIND("Meče",B41))&lt;&gt;16,-1,1),0)-IF(TYPE(MATCH("Učenlivý",Character!D11:D15,0))&lt;&gt;16,1,0))</f>
        <v>N/A</v>
      </c>
      <c r="N41" s="129">
        <f t="shared" si="8"/>
        <v>0</v>
      </c>
      <c r="O41" s="225">
        <v>0</v>
      </c>
      <c r="P41" s="179" t="str">
        <f>IF(OR(B41="", TYPE(FIND("Sekery",B41))&lt;&gt;16,TYPE(FIND("Tupé zbraně",B41))&lt;&gt;16, B41="Nože"),"N/A",(10+INT((L41+O41)/(IF(AE11="Střelné zbraně",Character!H$20,Character!H$19)/2))*5)/IF(AE51&gt;O41,2,1)-IF(AND(Character!$C$4="Amazonka",B41&lt;&gt;"Střelné zbraně - kuše"),2,0)+IF(TYPE(MATCH("Šermíř",Character!$D$11:$D$15,0))&lt;&gt;16,IF(TYPE(FIND("Meče",B41))&lt;&gt;16,-1,1),0)-IF(TYPE(MATCH("Učenlivý",Character!D11:D15,0))&lt;&gt;16,1,0))</f>
        <v>N/A</v>
      </c>
      <c r="Q41" s="154">
        <v>0</v>
      </c>
      <c r="R41" s="221">
        <f t="shared" ca="1" si="9"/>
        <v>0</v>
      </c>
      <c r="T41" s="4"/>
      <c r="U41" s="4"/>
      <c r="V41" s="4"/>
      <c r="AA41" s="4" t="e">
        <f t="shared" si="0"/>
        <v>#VALUE!</v>
      </c>
      <c r="AB41" s="4" t="e">
        <f t="shared" si="1"/>
        <v>#VALUE!</v>
      </c>
      <c r="AC41" s="4" t="e">
        <f t="shared" si="2"/>
        <v>#VALUE!</v>
      </c>
      <c r="AE41" s="283">
        <f ca="1">MAX(IF(TYPE(MATCH(AE11,AE$3:AE10,0))&lt;&gt;16,MAX(INDIRECT("L"&amp;MATCH(AE11,AE$3:AE10,0)+32),IF(TYPE(MATCH(AE11,INDIRECT("AE"&amp;MATCH(AE11,AE$3:AE10,0)+3):AE10,0))&lt;&gt;16,INDIRECT("L"&amp;MATCH(AE11,INDIRECT("AE"&amp;MATCH(AE11,AE$3:AE10,0)+3):AE10,0)+32+MATCH(AE11,AE$3:AE10,0)),0)),0),IF(TYPE(MATCH(AE11,AE12:AE$12,0))&lt;&gt;16,MAX(INDIRECT("L"&amp;MATCH(AE11,AE12:AE$12,0)+41),IF(TYPE(MATCH(AE11,INDIRECT("AE"&amp;MATCH(AE11,AE12:AE$12,0)+12):AE$12,0))&lt;&gt;16,INDIRECT("L"&amp;MATCH(AE11,INDIRECT("AE"&amp;MATCH(AE11,AE12:AE$12,0)+12):AE$12,0)+41+MATCH(AE11,AE12:AE$12,0)),0)),0))</f>
        <v>0</v>
      </c>
    </row>
    <row r="42" spans="1:31">
      <c r="A42" s="222" t="b">
        <f t="shared" ca="1" si="6"/>
        <v>1</v>
      </c>
      <c r="B42" s="496"/>
      <c r="C42" s="596"/>
      <c r="D42" s="596"/>
      <c r="E42" s="130">
        <f>IF(B42="",0,IF(TYPE(FIND("Střelné zbraně",B42))&lt;&gt;16,Character!$H$20,IF(TYPE(FIND("Vrhací zbraně",B42))&lt;&gt;16,2,1)))</f>
        <v>0</v>
      </c>
      <c r="F42" s="226">
        <v>0</v>
      </c>
      <c r="G42" s="181" t="str">
        <f>IF(OR(TYPE(FIND("Sekery",B42))&lt;&gt;16,TYPE(FIND("Tupé zbraně",B42))&lt;&gt;16),(10+INT((F42+I42)/(IF(AF10="lehké",Character!$H$20,Character!$H$25)/2))*5)/IF(AE22&gt;F42,2,1)-IF(Character!C4="Amazonka",2,0)+IF(TYPE(MATCH("Šermíř",Character!$D$11:$D$15,0))&lt;&gt;16,1,0)-IF(TYPE(MATCH("Učenlivý",Character!D11:D15,0))&lt;&gt;16,1,0),"N/A")</f>
        <v>N/A</v>
      </c>
      <c r="H42" s="130">
        <f t="shared" si="7"/>
        <v>0</v>
      </c>
      <c r="I42" s="226">
        <v>0</v>
      </c>
      <c r="J42" s="181" t="str">
        <f ca="1">IF(B42="Nože", 5+INT((F25+IF(TYPE(MATCH(B25,B33:B42,0))&lt;&gt;16,INDIRECT("I"&amp;MATCH(B25,B33:B42,0)+32),0))/(Character!H20/2))*5-IF(Character!C4="Amazonka",2,0)-IF(TYPE(MATCH("Učenlivý",Character!D11:D15,0))&lt;&gt;16,1,0), IF(OR(TYPE(FIND("Sekery",B42))&lt;&gt;16,TYPE(FIND("Tupé zbraně",B42))&lt;&gt;16),(10+INT((F42+I42)/(IF(AF10="lehké",Character!H$20,Character!H$25)/2))*5)/IF(AE32&gt;I42,2,1)-IF(Character!C4="Amazonka",2,0)+IF(TYPE(MATCH("Šermíř",Character!$D$11:$D$15,0))&lt;&gt;16,1,0)-IF(TYPE(MATCH("Učenlivý",Character!D11:D15,0))&lt;&gt;16,1,0),"N/A"))</f>
        <v>N/A</v>
      </c>
      <c r="K42" s="130">
        <v>0</v>
      </c>
      <c r="L42" s="226">
        <v>0</v>
      </c>
      <c r="M42" s="181" t="str">
        <f>IF(OR(B42="", TYPE(FIND("Sekery",B42))&lt;&gt;16,TYPE(FIND("Tupé zbraně",B42))&lt;&gt;16, B42="Nože"),"N/A",(10+INT((L42+O42)/(IF(AE12="Střelné zbraně",Character!H$20,Character!H$19)/2))*5)/IF(AE42&gt;L42,2,1)-IF(AND(Character!$C$4="Amazonka",B42&lt;&gt;"Střelné zbraně - kuše"),2,0)+IF(TYPE(MATCH("Šermíř",Character!$D$11:$D$15,0))&lt;&gt;16,IF(TYPE(FIND("Meče",B42))&lt;&gt;16,-1,1),0)-IF(TYPE(MATCH("Učenlivý",Character!D11:D15,0))&lt;&gt;16,1,0))</f>
        <v>N/A</v>
      </c>
      <c r="N42" s="130">
        <f t="shared" si="8"/>
        <v>0</v>
      </c>
      <c r="O42" s="226">
        <v>0</v>
      </c>
      <c r="P42" s="181" t="str">
        <f>IF(OR(B42="", TYPE(FIND("Sekery",B42))&lt;&gt;16,TYPE(FIND("Tupé zbraně",B42))&lt;&gt;16, B42="Nože"),"N/A",(10+INT((L42+O42)/(IF(AE12="Střelné zbraně",Character!H$20,Character!H$19)/2))*5)/IF(AE52&gt;O42,2,1)-IF(AND(Character!$C$4="Amazonka",B42&lt;&gt;"Střelné zbraně - kuše"),2,0)+IF(TYPE(MATCH("Šermíř",Character!$D$11:$D$15,0))&lt;&gt;16,IF(TYPE(FIND("Meče",B42))&lt;&gt;16,-1,1),0)-IF(TYPE(MATCH("Učenlivý",Character!D11:D15,0))&lt;&gt;16,1,0))</f>
        <v>N/A</v>
      </c>
      <c r="Q42" s="155">
        <v>0</v>
      </c>
      <c r="R42" s="221">
        <f t="shared" ca="1" si="9"/>
        <v>0</v>
      </c>
      <c r="T42" s="4"/>
      <c r="U42" s="4"/>
      <c r="V42" s="4"/>
      <c r="AA42" s="4" t="e">
        <f t="shared" si="0"/>
        <v>#VALUE!</v>
      </c>
      <c r="AB42" s="4" t="e">
        <f t="shared" si="1"/>
        <v>#VALUE!</v>
      </c>
      <c r="AC42" s="4" t="e">
        <f t="shared" si="2"/>
        <v>#VALUE!</v>
      </c>
      <c r="AE42" s="284">
        <f ca="1">IF(TYPE(MATCH(AE12,AE$3:AE11,0))&lt;&gt;16,MAX(INDIRECT("L"&amp;MATCH(AE12,AE$3:AE11,0)+32),IF(TYPE(MATCH(AE12,INDIRECT("AE"&amp;MATCH(AE12,AE$3:AE11,0)+3):AE11,0))&lt;&gt;16,INDIRECT("L"&amp;MATCH(AE12,INDIRECT("AE"&amp;MATCH(AE12,AE$3:AE11,0)+3):AE11,0)+32+MATCH(AE12,AE$3:AE11,0)),0)),0)</f>
        <v>0</v>
      </c>
    </row>
    <row r="43" spans="1:31">
      <c r="B43" s="586" t="s">
        <v>435</v>
      </c>
      <c r="C43" s="587"/>
      <c r="D43" s="588"/>
      <c r="E43" s="590" t="str">
        <f ca="1">IF(AND(A44:A53),IF(SUMPRODUCT((COUNTIF(B44:D53,B44:D53)&gt;1)+0)&gt;1,"Duplicita dat",""),"Na 3. levlu dovednosti nelze mít zbraň, která nespadá do podkategorie 2. levlu dovednosti!")</f>
        <v/>
      </c>
      <c r="F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262"/>
      <c r="AA43" s="4" t="e">
        <f t="shared" si="0"/>
        <v>#VALUE!</v>
      </c>
      <c r="AB43" s="4" t="e">
        <f t="shared" si="1"/>
        <v>#VALUE!</v>
      </c>
      <c r="AC43" s="4" t="e">
        <f t="shared" si="2"/>
        <v>#VALUE!</v>
      </c>
      <c r="AE43" s="11">
        <f ca="1">IF(TYPE(MATCH(AE3,AE4:AE$12,0))&lt;&gt;16,MAX(INDIRECT("O"&amp;MATCH(AE3,AE4:AE$12,0)+33),IF(TYPE(MATCH(AE3,INDIRECT("AE"&amp;MATCH(AE3,AE4:AE$12,0)+4):AE$12,0))&lt;&gt;16,INDIRECT("O"&amp;MATCH(AE3,INDIRECT("AE"&amp;MATCH(AE3,AE4:AE$12,0)+4):AE$12,0)+33+MATCH(AE3,AE4:AE$12,0)),0)),0)</f>
        <v>0</v>
      </c>
    </row>
    <row r="44" spans="1:31">
      <c r="A44" s="222" t="b">
        <f ca="1">NOT(IF(B44&lt;&gt;"",TYPE(MATCH(INDIRECT("Weapons!$B$"&amp;MATCH(IF(B44=Weapons!$AB$2,Weapons!$C$3,B44),Weapons!$C$3:$C$500,0)+2),$B$33:$B$42,0))=16,FALSE))</f>
        <v>1</v>
      </c>
      <c r="B44" s="500"/>
      <c r="C44" s="589"/>
      <c r="D44" s="501"/>
      <c r="E44" s="176">
        <f ca="1">IF(OR(B44="",TYPE(FIND("Střelné zbraně",INDIRECT("Weapons!$B$"&amp;MATCH(B44,Weapons!$C$3:$C$500,0)+2)))&lt;&gt;16),0,IF(TYPE(FIND("Vrhací zbraně",INDIRECT("Weapons!$B$"&amp;MATCH(B44,Weapons!$C$3:$C$500,0)+2)))&lt;&gt;16,2,1))</f>
        <v>0</v>
      </c>
      <c r="F44" s="219"/>
      <c r="G44" s="177"/>
      <c r="H44" s="128">
        <f ca="1">IF(OR(B44="",TYPE(FIND("Střelné zbraně",INDIRECT("Weapons!$B$"&amp;MATCH(B44,Weapons!$C$3:$C$500,0)+2)))&lt;&gt;16,TYPE(FIND("Tupé zbraně",INDIRECT("Weapons!$B$"&amp;MATCH(B44,Weapons!$C$3:$C$500,0)+2)))&lt;&gt;16,TYPE(FIND("Vrhací zbraně",INDIRECT("Weapons!$B$"&amp;MATCH(B44,Weapons!$C$3:$C$500,0)+2)))&lt;&gt;16),0,1)</f>
        <v>0</v>
      </c>
      <c r="I44" s="219"/>
      <c r="J44" s="177"/>
      <c r="K44" s="128">
        <v>0</v>
      </c>
      <c r="L44" s="224">
        <v>0</v>
      </c>
      <c r="M44" s="177" t="str">
        <f>IF(B44=Weapons!$AB$2,15+INT(L44/(Character!$H$19/2))*5-IF(Character!$C$4="Amazonka",2,0)-IF(TYPE(MATCH("Učenlivý",Character!D11:D15,0))&lt;&gt;16,1,0),"N/A")</f>
        <v>N/A</v>
      </c>
      <c r="N44" s="128">
        <f ca="1">IF(TYPE(FIND("Tupé zbraně",INDIRECT("Weapons!$B$"&amp;MATCH(B44,Weapons!$C$3:$C$500,0)+2)))&lt;&gt;16,2,0)</f>
        <v>0</v>
      </c>
      <c r="O44" s="219"/>
      <c r="P44" s="177"/>
      <c r="Q44" s="277">
        <v>0</v>
      </c>
      <c r="R44" s="214">
        <f ca="1">IF(B44&lt;&gt;"",INDIRECT("$D$"&amp;MATCH(IF(B44=Weapons!$AB$2,"Nože",IF(INDIRECT("Weapons!$B$"&amp;MATCH(B44,Weapons!$C$3:$C$500,0)+2)="Nože","Nože",LEFT(INDIRECT("Weapons!$B$"&amp;MATCH(B44,Weapons!$C$3:$C$500,0)+2),FIND(" -",INDIRECT("Weapons!$B$"&amp;MATCH(B44,Weapons!$C$3:$C$500,0)+2))-1))),$B$25:$B$31,0)+24),0)+Q44</f>
        <v>0</v>
      </c>
      <c r="S44" s="261"/>
      <c r="AA44" s="4" t="e">
        <f t="shared" si="0"/>
        <v>#VALUE!</v>
      </c>
      <c r="AB44" s="4" t="e">
        <f t="shared" si="1"/>
        <v>#VALUE!</v>
      </c>
      <c r="AC44" s="4" t="e">
        <f t="shared" si="2"/>
        <v>#VALUE!</v>
      </c>
      <c r="AE44" s="283">
        <f ca="1">MAX(IF(TYPE(MATCH(AE4,AE$3:AE3,0))&lt;&gt;16,MAX(INDIRECT("O"&amp;MATCH(AE4,AE$3:AE3,0)+32),IF(TYPE(MATCH(AE4,INDIRECT("AE"&amp;MATCH(AE4,AE$3:AE3,0)+3):AE3,0))&lt;&gt;16,INDIRECT("O"&amp;MATCH(AE4,INDIRECT("AE"&amp;MATCH(AE4,AE$3:AE3,0)+3):AE3,0)+32+MATCH(AE4,AE$3:AE3,0)),0)),0),IF(TYPE(MATCH(AE4,AE5:AE$12,0))&lt;&gt;16,MAX(INDIRECT("O"&amp;MATCH(AE4,AE5:AE$12,0)+34),IF(TYPE(MATCH(AE4,INDIRECT("AE"&amp;MATCH(AE4,AE5:AE$12,0)+5):AE$12,0))&lt;&gt;16,INDIRECT("O"&amp;MATCH(AE4,INDIRECT("AE"&amp;MATCH(AE4,AE5:AE$12,0)+5):AE$12,0)+34+MATCH(AE4,AE5:AE$12,0)),0)),0))</f>
        <v>0</v>
      </c>
    </row>
    <row r="45" spans="1:31">
      <c r="A45" s="222" t="b">
        <f ca="1">NOT(IF(B45&lt;&gt;"",TYPE(MATCH(INDIRECT("Weapons!$B$"&amp;MATCH(IF(B45=Weapons!$AB$2,Weapons!$C$3,B45),Weapons!$C$3:$C$500,0)+2),$B$33:$B$42,0))=16,FALSE))</f>
        <v>1</v>
      </c>
      <c r="B45" s="502"/>
      <c r="C45" s="498"/>
      <c r="D45" s="499"/>
      <c r="E45" s="178">
        <f ca="1">IF(OR(B45="",TYPE(FIND("Střelné zbraně",INDIRECT("Weapons!$B$"&amp;MATCH(B45,Weapons!$C$3:$C$500,0)+2)))&lt;&gt;16),0,IF(TYPE(FIND("Vrhací zbraně",INDIRECT("Weapons!$B$"&amp;MATCH(B45,Weapons!$C$3:$C$500,0)+2)))&lt;&gt;16,2,1))</f>
        <v>0</v>
      </c>
      <c r="F45" s="217"/>
      <c r="G45" s="179"/>
      <c r="H45" s="129">
        <f ca="1">IF(OR(B45="",TYPE(FIND("Střelné zbraně",INDIRECT("Weapons!$B$"&amp;MATCH(B45,Weapons!$C$3:$C$500,0)+2)))&lt;&gt;16,TYPE(FIND("Tupé zbraně",INDIRECT("Weapons!$B$"&amp;MATCH(B45,Weapons!$C$3:$C$500,0)+2)))&lt;&gt;16,TYPE(FIND("Vrhací zbraně",INDIRECT("Weapons!$B$"&amp;MATCH(B45,Weapons!$C$3:$C$500,0)+2)))&lt;&gt;16),0,1)</f>
        <v>0</v>
      </c>
      <c r="I45" s="217"/>
      <c r="J45" s="179"/>
      <c r="K45" s="129">
        <v>0</v>
      </c>
      <c r="L45" s="225">
        <v>0</v>
      </c>
      <c r="M45" s="179" t="str">
        <f>IF(B45=Weapons!$AB$2,15+INT(L45/(Character!$H$19/2))*5-IF(Character!$C$4="Amazonka",2,0)-IF(TYPE(MATCH("Učenlivý",Character!D11:D15,0))&lt;&gt;16,1,0),"N/A")</f>
        <v>N/A</v>
      </c>
      <c r="N45" s="129">
        <f ca="1">IF(TYPE(FIND("Tupé zbraně",INDIRECT("Weapons!$B$"&amp;MATCH(B45,Weapons!$C$3:$C$500,0)+2)))&lt;&gt;16,2,0)</f>
        <v>0</v>
      </c>
      <c r="O45" s="217"/>
      <c r="P45" s="179"/>
      <c r="Q45" s="154">
        <v>0</v>
      </c>
      <c r="R45" s="215">
        <f ca="1">IF(B45&lt;&gt;"",INDIRECT("$D$"&amp;MATCH(IF(B45=Weapons!$AB$2,"Nože",IF(INDIRECT("Weapons!$B$"&amp;MATCH(B45,Weapons!$C$3:$C$500,0)+2)="Nože","Nože",LEFT(INDIRECT("Weapons!$B$"&amp;MATCH(B45,Weapons!$C$3:$C$500,0)+2),FIND(" -",INDIRECT("Weapons!$B$"&amp;MATCH(B45,Weapons!$C$3:$C$500,0)+2))-1))),$B$25:$B$31,0)+24),0)+Q45</f>
        <v>0</v>
      </c>
      <c r="S45" s="261"/>
      <c r="AA45" s="4" t="e">
        <f t="shared" si="0"/>
        <v>#VALUE!</v>
      </c>
      <c r="AB45" s="4" t="e">
        <f t="shared" si="1"/>
        <v>#VALUE!</v>
      </c>
      <c r="AC45" s="4" t="e">
        <f t="shared" si="2"/>
        <v>#VALUE!</v>
      </c>
      <c r="AE45" s="283">
        <f ca="1">MAX(IF(TYPE(MATCH(AE5,AE$3:AE4,0))&lt;&gt;16,MAX(INDIRECT("O"&amp;MATCH(AE5,AE$3:AE4,0)+32),IF(TYPE(MATCH(AE5,INDIRECT("AE"&amp;MATCH(AE5,AE$3:AE4,0)+3):AE4,0))&lt;&gt;16,INDIRECT("O"&amp;MATCH(AE5,INDIRECT("AE"&amp;MATCH(AE5,AE$3:AE4,0)+3):AE4,0)+32+MATCH(AE5,AE$3:AE4,0)),0)),0),IF(TYPE(MATCH(AE5,AE6:AE$12,0))&lt;&gt;16,MAX(INDIRECT("O"&amp;MATCH(AE5,AE6:AE$12,0)+35),IF(TYPE(MATCH(AE5,INDIRECT("AE"&amp;MATCH(AE5,AE6:AE$12,0)+6):AE$12,0))&lt;&gt;16,INDIRECT("O"&amp;MATCH(AE5,INDIRECT("AE"&amp;MATCH(AE5,AE6:AE$12,0)+6):AE$12,0)+35+MATCH(AE5,AE6:AE$12,0)),0)),0))</f>
        <v>0</v>
      </c>
    </row>
    <row r="46" spans="1:31">
      <c r="A46" s="222" t="b">
        <f ca="1">NOT(IF(B46&lt;&gt;"",TYPE(MATCH(INDIRECT("Weapons!$B$"&amp;MATCH(IF(B46=Weapons!$AB$2,Weapons!$C$3,B46),Weapons!$C$3:$C$500,0)+2),$B$33:$B$42,0))=16,FALSE))</f>
        <v>1</v>
      </c>
      <c r="B46" s="502"/>
      <c r="C46" s="498"/>
      <c r="D46" s="499"/>
      <c r="E46" s="178">
        <f ca="1">IF(OR(B46="",TYPE(FIND("Střelné zbraně",INDIRECT("Weapons!$B$"&amp;MATCH(B46,Weapons!$C$3:$C$500,0)+2)))&lt;&gt;16),0,IF(TYPE(FIND("Vrhací zbraně",INDIRECT("Weapons!$B$"&amp;MATCH(B46,Weapons!$C$3:$C$500,0)+2)))&lt;&gt;16,2,1))</f>
        <v>0</v>
      </c>
      <c r="F46" s="217"/>
      <c r="G46" s="179"/>
      <c r="H46" s="129">
        <f ca="1">IF(OR(B46="",TYPE(FIND("Střelné zbraně",INDIRECT("Weapons!$B$"&amp;MATCH(B46,Weapons!$C$3:$C$500,0)+2)))&lt;&gt;16,TYPE(FIND("Tupé zbraně",INDIRECT("Weapons!$B$"&amp;MATCH(B46,Weapons!$C$3:$C$500,0)+2)))&lt;&gt;16,TYPE(FIND("Vrhací zbraně",INDIRECT("Weapons!$B$"&amp;MATCH(B46,Weapons!$C$3:$C$500,0)+2)))&lt;&gt;16),0,1)</f>
        <v>0</v>
      </c>
      <c r="I46" s="217"/>
      <c r="J46" s="179"/>
      <c r="K46" s="129">
        <v>0</v>
      </c>
      <c r="L46" s="225">
        <v>0</v>
      </c>
      <c r="M46" s="179" t="str">
        <f>IF(B46=Weapons!$AB$2,15+INT(L46/(Character!$H$19/2))*5-IF(Character!$C$4="Amazonka",2,0)-IF(TYPE(MATCH("Učenlivý",Character!D11:D15,0))&lt;&gt;16,1,0),"N/A")</f>
        <v>N/A</v>
      </c>
      <c r="N46" s="129">
        <f ca="1">IF(TYPE(FIND("Tupé zbraně",INDIRECT("Weapons!$B$"&amp;MATCH(B46,Weapons!$C$3:$C$500,0)+2)))&lt;&gt;16,2,0)</f>
        <v>0</v>
      </c>
      <c r="O46" s="217"/>
      <c r="P46" s="179"/>
      <c r="Q46" s="154">
        <v>0</v>
      </c>
      <c r="R46" s="215">
        <f ca="1">IF(B46&lt;&gt;"",INDIRECT("$D$"&amp;MATCH(IF(B46=Weapons!$AB$2,"Nože",IF(INDIRECT("Weapons!$B$"&amp;MATCH(B46,Weapons!$C$3:$C$500,0)+2)="Nože","Nože",LEFT(INDIRECT("Weapons!$B$"&amp;MATCH(B46,Weapons!$C$3:$C$500,0)+2),FIND(" -",INDIRECT("Weapons!$B$"&amp;MATCH(B46,Weapons!$C$3:$C$500,0)+2))-1))),$B$25:$B$31,0)+24),0)+Q46</f>
        <v>0</v>
      </c>
      <c r="S46" s="261"/>
      <c r="AA46" s="4" t="e">
        <f t="shared" si="0"/>
        <v>#VALUE!</v>
      </c>
      <c r="AB46" s="4" t="e">
        <f t="shared" si="1"/>
        <v>#VALUE!</v>
      </c>
      <c r="AC46" s="4" t="e">
        <f t="shared" si="2"/>
        <v>#VALUE!</v>
      </c>
      <c r="AE46" s="283">
        <f ca="1">MAX(IF(TYPE(MATCH(AE6,AE$3:AE5,0))&lt;&gt;16,MAX(INDIRECT("O"&amp;MATCH(AE6,AE$3:AE5,0)+32),IF(TYPE(MATCH(AE6,INDIRECT("AE"&amp;MATCH(AE6,AE$3:AE5,0)+3):AE5,0))&lt;&gt;16,INDIRECT("O"&amp;MATCH(AE6,INDIRECT("AE"&amp;MATCH(AE6,AE$3:AE5,0)+3):AE5,0)+32+MATCH(AE6,AE$3:AE5,0)),0)),0),IF(TYPE(MATCH(AE6,AE7:AE$12,0))&lt;&gt;16,MAX(INDIRECT("O"&amp;MATCH(AE6,AE7:AE$12,0)+36),IF(TYPE(MATCH(AE6,INDIRECT("AE"&amp;MATCH(AE6,AE7:AE$12,0)+7):AE$12,0))&lt;&gt;16,INDIRECT("O"&amp;MATCH(AE6,INDIRECT("AE"&amp;MATCH(AE6,AE7:AE$12,0)+7):AE$12,0)+36+MATCH(AE6,AE7:AE$12,0)),0)),0))</f>
        <v>0</v>
      </c>
    </row>
    <row r="47" spans="1:31">
      <c r="A47" s="222" t="b">
        <f ca="1">NOT(IF(B47&lt;&gt;"",TYPE(MATCH(INDIRECT("Weapons!$B$"&amp;MATCH(IF(B47=Weapons!$AB$2,Weapons!$C$3,B47),Weapons!$C$3:$C$500,0)+2),$B$33:$B$42,0))=16,FALSE))</f>
        <v>1</v>
      </c>
      <c r="B47" s="502"/>
      <c r="C47" s="498"/>
      <c r="D47" s="499"/>
      <c r="E47" s="178">
        <f ca="1">IF(OR(B47="",TYPE(FIND("Střelné zbraně",INDIRECT("Weapons!$B$"&amp;MATCH(B47,Weapons!$C$3:$C$500,0)+2)))&lt;&gt;16),0,IF(TYPE(FIND("Vrhací zbraně",INDIRECT("Weapons!$B$"&amp;MATCH(B47,Weapons!$C$3:$C$500,0)+2)))&lt;&gt;16,2,1))</f>
        <v>0</v>
      </c>
      <c r="F47" s="217"/>
      <c r="G47" s="179"/>
      <c r="H47" s="129">
        <f ca="1">IF(OR(B47="",TYPE(FIND("Střelné zbraně",INDIRECT("Weapons!$B$"&amp;MATCH(B47,Weapons!$C$3:$C$500,0)+2)))&lt;&gt;16,TYPE(FIND("Tupé zbraně",INDIRECT("Weapons!$B$"&amp;MATCH(B47,Weapons!$C$3:$C$500,0)+2)))&lt;&gt;16,TYPE(FIND("Vrhací zbraně",INDIRECT("Weapons!$B$"&amp;MATCH(B47,Weapons!$C$3:$C$500,0)+2)))&lt;&gt;16),0,1)</f>
        <v>0</v>
      </c>
      <c r="I47" s="217"/>
      <c r="J47" s="179"/>
      <c r="K47" s="129">
        <v>0</v>
      </c>
      <c r="L47" s="225">
        <v>0</v>
      </c>
      <c r="M47" s="179" t="str">
        <f>IF(B47=Weapons!$AB$2,15+INT(L47/(Character!$H$19/2))*5-IF(Character!$C$4="Amazonka",2,0)-IF(TYPE(MATCH("Učenlivý",Character!D11:D15,0))&lt;&gt;16,1,0),"N/A")</f>
        <v>N/A</v>
      </c>
      <c r="N47" s="129">
        <f ca="1">IF(TYPE(FIND("Tupé zbraně",INDIRECT("Weapons!$B$"&amp;MATCH(B47,Weapons!$C$3:$C$500,0)+2)))&lt;&gt;16,2,0)</f>
        <v>0</v>
      </c>
      <c r="O47" s="217"/>
      <c r="P47" s="179"/>
      <c r="Q47" s="154">
        <v>0</v>
      </c>
      <c r="R47" s="215">
        <f ca="1">IF(B47&lt;&gt;"",INDIRECT("$D$"&amp;MATCH(IF(B47=Weapons!$AB$2,"Nože",IF(INDIRECT("Weapons!$B$"&amp;MATCH(B47,Weapons!$C$3:$C$500,0)+2)="Nože","Nože",LEFT(INDIRECT("Weapons!$B$"&amp;MATCH(B47,Weapons!$C$3:$C$500,0)+2),FIND(" -",INDIRECT("Weapons!$B$"&amp;MATCH(B47,Weapons!$C$3:$C$500,0)+2))-1))),$B$25:$B$31,0)+24),0)+Q47</f>
        <v>0</v>
      </c>
      <c r="S47" s="261"/>
      <c r="AA47" s="4" t="e">
        <f t="shared" si="0"/>
        <v>#VALUE!</v>
      </c>
      <c r="AB47" s="4" t="e">
        <f t="shared" si="1"/>
        <v>#VALUE!</v>
      </c>
      <c r="AC47" s="4" t="e">
        <f t="shared" si="2"/>
        <v>#VALUE!</v>
      </c>
      <c r="AE47" s="283">
        <f ca="1">MAX(IF(TYPE(MATCH(AE7,AE$3:AE6,0))&lt;&gt;16,MAX(INDIRECT("O"&amp;MATCH(AE7,AE$3:AE6,0)+32),IF(TYPE(MATCH(AE7,INDIRECT("AE"&amp;MATCH(AE7,AE$3:AE6,0)+3):AE6,0))&lt;&gt;16,INDIRECT("O"&amp;MATCH(AE7,INDIRECT("AE"&amp;MATCH(AE7,AE$3:AE6,0)+3):AE6,0)+32+MATCH(AE7,AE$3:AE6,0)),0)),0),IF(TYPE(MATCH(AE7,AE8:AE$12,0))&lt;&gt;16,MAX(INDIRECT("O"&amp;MATCH(AE7,AE8:AE$12,0)+37),IF(TYPE(MATCH(AE7,INDIRECT("AE"&amp;MATCH(AE7,AE8:AE$12,0)+8):AE$12,0))&lt;&gt;16,INDIRECT("O"&amp;MATCH(AE7,INDIRECT("AE"&amp;MATCH(AE7,AE8:AE$12,0)+8):AE$12,0)+37+MATCH(AE7,AE8:AE$12,0)),0)),0))</f>
        <v>0</v>
      </c>
    </row>
    <row r="48" spans="1:31">
      <c r="A48" s="222" t="b">
        <f ca="1">NOT(IF(B48&lt;&gt;"",TYPE(MATCH(INDIRECT("Weapons!$B$"&amp;MATCH(IF(B48=Weapons!$AB$2,Weapons!$C$3,B48),Weapons!$C$3:$C$500,0)+2),$B$33:$B$42,0))=16,FALSE))</f>
        <v>1</v>
      </c>
      <c r="B48" s="502"/>
      <c r="C48" s="498"/>
      <c r="D48" s="499"/>
      <c r="E48" s="178">
        <f ca="1">IF(OR(B48="",TYPE(FIND("Střelné zbraně",INDIRECT("Weapons!$B$"&amp;MATCH(B48,Weapons!$C$3:$C$500,0)+2)))&lt;&gt;16),0,IF(TYPE(FIND("Vrhací zbraně",INDIRECT("Weapons!$B$"&amp;MATCH(B48,Weapons!$C$3:$C$500,0)+2)))&lt;&gt;16,2,1))</f>
        <v>0</v>
      </c>
      <c r="F48" s="217"/>
      <c r="G48" s="179"/>
      <c r="H48" s="129">
        <f ca="1">IF(OR(B48="",TYPE(FIND("Střelné zbraně",INDIRECT("Weapons!$B$"&amp;MATCH(B48,Weapons!$C$3:$C$500,0)+2)))&lt;&gt;16,TYPE(FIND("Tupé zbraně",INDIRECT("Weapons!$B$"&amp;MATCH(B48,Weapons!$C$3:$C$500,0)+2)))&lt;&gt;16,TYPE(FIND("Vrhací zbraně",INDIRECT("Weapons!$B$"&amp;MATCH(B48,Weapons!$C$3:$C$500,0)+2)))&lt;&gt;16),0,1)</f>
        <v>0</v>
      </c>
      <c r="I48" s="217"/>
      <c r="J48" s="179"/>
      <c r="K48" s="129">
        <v>0</v>
      </c>
      <c r="L48" s="225">
        <v>0</v>
      </c>
      <c r="M48" s="179" t="str">
        <f>IF(B48=Weapons!$AB$2,15+INT(L48/(Character!$H$19/2))*5-IF(Character!$C$4="Amazonka",2,0)-IF(TYPE(MATCH("Učenlivý",Character!D11:D15,0))&lt;&gt;16,1,0),"N/A")</f>
        <v>N/A</v>
      </c>
      <c r="N48" s="129">
        <f ca="1">IF(TYPE(FIND("Tupé zbraně",INDIRECT("Weapons!$B$"&amp;MATCH(B48,Weapons!$C$3:$C$500,0)+2)))&lt;&gt;16,2,0)</f>
        <v>0</v>
      </c>
      <c r="O48" s="217"/>
      <c r="P48" s="179"/>
      <c r="Q48" s="154">
        <v>0</v>
      </c>
      <c r="R48" s="215">
        <f ca="1">IF(B48&lt;&gt;"",INDIRECT("$D$"&amp;MATCH(IF(B48=Weapons!$AB$2,"Nože",IF(INDIRECT("Weapons!$B$"&amp;MATCH(B48,Weapons!$C$3:$C$500,0)+2)="Nože","Nože",LEFT(INDIRECT("Weapons!$B$"&amp;MATCH(B48,Weapons!$C$3:$C$500,0)+2),FIND(" -",INDIRECT("Weapons!$B$"&amp;MATCH(B48,Weapons!$C$3:$C$500,0)+2))-1))),$B$25:$B$31,0)+24),0)+Q48</f>
        <v>0</v>
      </c>
      <c r="S48" s="261"/>
      <c r="AA48" s="4" t="e">
        <f t="shared" si="0"/>
        <v>#VALUE!</v>
      </c>
      <c r="AB48" s="4" t="e">
        <f t="shared" si="1"/>
        <v>#VALUE!</v>
      </c>
      <c r="AC48" s="4" t="e">
        <f t="shared" si="2"/>
        <v>#VALUE!</v>
      </c>
      <c r="AE48" s="283">
        <f ca="1">MAX(IF(TYPE(MATCH(AE8,AE$3:AE7,0))&lt;&gt;16,MAX(INDIRECT("O"&amp;MATCH(AE8,AE$3:AE7,0)+32),IF(TYPE(MATCH(AE8,INDIRECT("AE"&amp;MATCH(AE8,AE$3:AE7,0)+3):AE7,0))&lt;&gt;16,INDIRECT("O"&amp;MATCH(AE8,INDIRECT("AE"&amp;MATCH(AE8,AE$3:AE7,0)+3):AE7,0)+32+MATCH(AE8,AE$3:AE7,0)),0)),0),IF(TYPE(MATCH(AE8,AE9:AE$12,0))&lt;&gt;16,MAX(INDIRECT("O"&amp;MATCH(AE8,AE9:AE$12,0)+38),IF(TYPE(MATCH(AE8,INDIRECT("AE"&amp;MATCH(AE8,AE9:AE$12,0)+9):AE$12,0))&lt;&gt;16,INDIRECT("O"&amp;MATCH(AE8,INDIRECT("AE"&amp;MATCH(AE8,AE9:AE$12,0)+9):AE$12,0)+38+MATCH(AE8,AE9:AE$12,0)),0)),0))</f>
        <v>0</v>
      </c>
    </row>
    <row r="49" spans="1:31">
      <c r="A49" s="222" t="b">
        <f ca="1">NOT(IF(B49&lt;&gt;"",TYPE(MATCH(INDIRECT("Weapons!$B$"&amp;MATCH(IF(B49=Weapons!$AB$2,Weapons!$C$3,B49),Weapons!$C$3:$C$500,0)+2),$B$33:$B$42,0))=16,FALSE))</f>
        <v>1</v>
      </c>
      <c r="B49" s="502"/>
      <c r="C49" s="498"/>
      <c r="D49" s="499"/>
      <c r="E49" s="178">
        <f ca="1">IF(OR(B49="",TYPE(FIND("Střelné zbraně",INDIRECT("Weapons!$B$"&amp;MATCH(B49,Weapons!$C$3:$C$500,0)+2)))&lt;&gt;16),0,IF(TYPE(FIND("Vrhací zbraně",INDIRECT("Weapons!$B$"&amp;MATCH(B49,Weapons!$C$3:$C$500,0)+2)))&lt;&gt;16,2,1))</f>
        <v>0</v>
      </c>
      <c r="F49" s="217"/>
      <c r="G49" s="179"/>
      <c r="H49" s="129">
        <f ca="1">IF(OR(B49="",TYPE(FIND("Střelné zbraně",INDIRECT("Weapons!$B$"&amp;MATCH(B49,Weapons!$C$3:$C$500,0)+2)))&lt;&gt;16,TYPE(FIND("Tupé zbraně",INDIRECT("Weapons!$B$"&amp;MATCH(B49,Weapons!$C$3:$C$500,0)+2)))&lt;&gt;16,TYPE(FIND("Vrhací zbraně",INDIRECT("Weapons!$B$"&amp;MATCH(B49,Weapons!$C$3:$C$500,0)+2)))&lt;&gt;16),0,1)</f>
        <v>0</v>
      </c>
      <c r="I49" s="217"/>
      <c r="J49" s="179"/>
      <c r="K49" s="129">
        <v>0</v>
      </c>
      <c r="L49" s="225">
        <v>0</v>
      </c>
      <c r="M49" s="179" t="str">
        <f>IF(B49=Weapons!$AB$2,15+INT(L49/(Character!$H$19/2))*5-IF(Character!$C$4="Amazonka",2,0)-IF(TYPE(MATCH("Učenlivý",Character!D11:D15,0))&lt;&gt;16,1,0),"N/A")</f>
        <v>N/A</v>
      </c>
      <c r="N49" s="129">
        <f ca="1">IF(TYPE(FIND("Tupé zbraně",INDIRECT("Weapons!$B$"&amp;MATCH(B49,Weapons!$C$3:$C$500,0)+2)))&lt;&gt;16,2,0)</f>
        <v>0</v>
      </c>
      <c r="O49" s="217"/>
      <c r="P49" s="179"/>
      <c r="Q49" s="154">
        <v>0</v>
      </c>
      <c r="R49" s="215">
        <f ca="1">IF(B49&lt;&gt;"",INDIRECT("$D$"&amp;MATCH(IF(B49=Weapons!$AB$2,"Nože",IF(INDIRECT("Weapons!$B$"&amp;MATCH(B49,Weapons!$C$3:$C$500,0)+2)="Nože","Nože",LEFT(INDIRECT("Weapons!$B$"&amp;MATCH(B49,Weapons!$C$3:$C$500,0)+2),FIND(" -",INDIRECT("Weapons!$B$"&amp;MATCH(B49,Weapons!$C$3:$C$500,0)+2))-1))),$B$25:$B$31,0)+24),0)+Q49</f>
        <v>0</v>
      </c>
      <c r="S49" s="261"/>
      <c r="AA49" s="4" t="e">
        <f t="shared" si="0"/>
        <v>#VALUE!</v>
      </c>
      <c r="AB49" s="4" t="e">
        <f t="shared" si="1"/>
        <v>#VALUE!</v>
      </c>
      <c r="AC49" s="4" t="e">
        <f t="shared" si="2"/>
        <v>#VALUE!</v>
      </c>
      <c r="AE49" s="283">
        <f ca="1">MAX(IF(TYPE(MATCH(AE9,AE$3:AE8,0))&lt;&gt;16,MAX(INDIRECT("O"&amp;MATCH(AE9,AE$3:AE8,0)+32),IF(TYPE(MATCH(AE9,INDIRECT("AE"&amp;MATCH(AE9,AE$3:AE8,0)+3):AE8,0))&lt;&gt;16,INDIRECT("O"&amp;MATCH(AE9,INDIRECT("AE"&amp;MATCH(AE9,AE$3:AE8,0)+3):AE8,0)+32+MATCH(AE9,AE$3:AE8,0)),0)),0),IF(TYPE(MATCH(AE9,AE10:AE$12,0))&lt;&gt;16,MAX(INDIRECT("O"&amp;MATCH(AE9,AE10:AE$12,0)+39),IF(TYPE(MATCH(AE9,INDIRECT("AE"&amp;MATCH(AE9,AE10:AE$12,0)+10):AE$12,0))&lt;&gt;16,INDIRECT("O"&amp;MATCH(AE9,INDIRECT("AE"&amp;MATCH(AE9,AE10:AE$12,0)+10):AE$12,0)+39+MATCH(AE9,AE10:AE$12,0)),0)),0))</f>
        <v>0</v>
      </c>
    </row>
    <row r="50" spans="1:31">
      <c r="A50" s="222" t="b">
        <f ca="1">NOT(IF(B50&lt;&gt;"",TYPE(MATCH(INDIRECT("Weapons!$B$"&amp;MATCH(IF(B50=Weapons!$AB$2,Weapons!$C$3,B50),Weapons!$C$3:$C$500,0)+2),$B$33:$B$42,0))=16,FALSE))</f>
        <v>1</v>
      </c>
      <c r="B50" s="502"/>
      <c r="C50" s="498"/>
      <c r="D50" s="499"/>
      <c r="E50" s="178">
        <f ca="1">IF(OR(B50="",TYPE(FIND("Střelné zbraně",INDIRECT("Weapons!$B$"&amp;MATCH(B50,Weapons!$C$3:$C$500,0)+2)))&lt;&gt;16),0,IF(TYPE(FIND("Vrhací zbraně",INDIRECT("Weapons!$B$"&amp;MATCH(B50,Weapons!$C$3:$C$500,0)+2)))&lt;&gt;16,2,1))</f>
        <v>0</v>
      </c>
      <c r="F50" s="217"/>
      <c r="G50" s="179"/>
      <c r="H50" s="129">
        <f ca="1">IF(OR(B50="",TYPE(FIND("Střelné zbraně",INDIRECT("Weapons!$B$"&amp;MATCH(B50,Weapons!$C$3:$C$500,0)+2)))&lt;&gt;16,TYPE(FIND("Tupé zbraně",INDIRECT("Weapons!$B$"&amp;MATCH(B50,Weapons!$C$3:$C$500,0)+2)))&lt;&gt;16,TYPE(FIND("Vrhací zbraně",INDIRECT("Weapons!$B$"&amp;MATCH(B50,Weapons!$C$3:$C$500,0)+2)))&lt;&gt;16),0,1)</f>
        <v>0</v>
      </c>
      <c r="I50" s="217"/>
      <c r="J50" s="179"/>
      <c r="K50" s="129">
        <v>0</v>
      </c>
      <c r="L50" s="225">
        <v>0</v>
      </c>
      <c r="M50" s="179" t="str">
        <f>IF(B50=Weapons!$AB$2,15+INT(L50/(Character!$H$19/2))*5-IF(Character!$C$4="Amazonka",2,0)-IF(TYPE(MATCH("Učenlivý",Character!D11:D15,0))&lt;&gt;16,1,0),"N/A")</f>
        <v>N/A</v>
      </c>
      <c r="N50" s="129">
        <f ca="1">IF(TYPE(FIND("Tupé zbraně",INDIRECT("Weapons!$B$"&amp;MATCH(B50,Weapons!$C$3:$C$500,0)+2)))&lt;&gt;16,2,0)</f>
        <v>0</v>
      </c>
      <c r="O50" s="217"/>
      <c r="P50" s="179"/>
      <c r="Q50" s="154">
        <v>0</v>
      </c>
      <c r="R50" s="215">
        <f ca="1">IF(B50&lt;&gt;"",INDIRECT("$D$"&amp;MATCH(IF(B50=Weapons!$AB$2,"Nože",IF(INDIRECT("Weapons!$B$"&amp;MATCH(B50,Weapons!$C$3:$C$500,0)+2)="Nože","Nože",LEFT(INDIRECT("Weapons!$B$"&amp;MATCH(B50,Weapons!$C$3:$C$500,0)+2),FIND(" -",INDIRECT("Weapons!$B$"&amp;MATCH(B50,Weapons!$C$3:$C$500,0)+2))-1))),$B$25:$B$31,0)+24),0)+Q50</f>
        <v>0</v>
      </c>
      <c r="S50" s="261"/>
      <c r="AA50" s="4" t="e">
        <f t="shared" si="0"/>
        <v>#VALUE!</v>
      </c>
      <c r="AB50" s="4" t="e">
        <f t="shared" si="1"/>
        <v>#VALUE!</v>
      </c>
      <c r="AC50" s="4" t="e">
        <f t="shared" si="2"/>
        <v>#VALUE!</v>
      </c>
      <c r="AE50" s="283">
        <f ca="1">MAX(IF(TYPE(MATCH(AE10,AE$3:AE9,0))&lt;&gt;16,MAX(INDIRECT("O"&amp;MATCH(AE10,AE$3:AE9,0)+32),IF(TYPE(MATCH(AE10,INDIRECT("AE"&amp;MATCH(AE10,AE$3:AE9,0)+3):AE9,0))&lt;&gt;16,INDIRECT("O"&amp;MATCH(AE10,INDIRECT("AE"&amp;MATCH(AE10,AE$3:AE9,0)+3):AE9,0)+32+MATCH(AE10,AE$3:AE9,0)),0)),0),IF(TYPE(MATCH(AE10,AE11:AE$12,0))&lt;&gt;16,MAX(INDIRECT("O"&amp;MATCH(AE10,AE11:AE$12,0)+40),IF(TYPE(MATCH(AE10,INDIRECT("AE"&amp;MATCH(AE10,AE11:AE$12,0)+11):AE$12,0))&lt;&gt;16,INDIRECT("O"&amp;MATCH(AE10,INDIRECT("AE"&amp;MATCH(AE10,AE11:AE$12,0)+11):AE$12,0)+40+MATCH(AE10,AE11:AE$12,0)),0)),0))</f>
        <v>0</v>
      </c>
    </row>
    <row r="51" spans="1:31">
      <c r="A51" s="222" t="b">
        <f ca="1">NOT(IF(B51&lt;&gt;"",TYPE(MATCH(INDIRECT("Weapons!$B$"&amp;MATCH(IF(B51=Weapons!$AB$2,Weapons!$C$3,B51),Weapons!$C$3:$C$500,0)+2),$B$33:$B$42,0))=16,FALSE))</f>
        <v>1</v>
      </c>
      <c r="B51" s="502"/>
      <c r="C51" s="498"/>
      <c r="D51" s="499"/>
      <c r="E51" s="178">
        <f ca="1">IF(OR(B51="",TYPE(FIND("Střelné zbraně",INDIRECT("Weapons!$B$"&amp;MATCH(B51,Weapons!$C$3:$C$500,0)+2)))&lt;&gt;16),0,IF(TYPE(FIND("Vrhací zbraně",INDIRECT("Weapons!$B$"&amp;MATCH(B51,Weapons!$C$3:$C$500,0)+2)))&lt;&gt;16,2,1))</f>
        <v>0</v>
      </c>
      <c r="F51" s="217"/>
      <c r="G51" s="179"/>
      <c r="H51" s="129">
        <f ca="1">IF(OR(B51="",TYPE(FIND("Střelné zbraně",INDIRECT("Weapons!$B$"&amp;MATCH(B51,Weapons!$C$3:$C$500,0)+2)))&lt;&gt;16,TYPE(FIND("Tupé zbraně",INDIRECT("Weapons!$B$"&amp;MATCH(B51,Weapons!$C$3:$C$500,0)+2)))&lt;&gt;16,TYPE(FIND("Vrhací zbraně",INDIRECT("Weapons!$B$"&amp;MATCH(B51,Weapons!$C$3:$C$500,0)+2)))&lt;&gt;16),0,1)</f>
        <v>0</v>
      </c>
      <c r="I51" s="217"/>
      <c r="J51" s="179"/>
      <c r="K51" s="129">
        <v>0</v>
      </c>
      <c r="L51" s="225">
        <v>0</v>
      </c>
      <c r="M51" s="179" t="str">
        <f>IF(B51=Weapons!$AB$2,15+INT(L51/(Character!$H$19/2))*5-IF(Character!$C$4="Amazonka",2,0)-IF(TYPE(MATCH("Učenlivý",Character!D11:D15,0))&lt;&gt;16,1,0),"N/A")</f>
        <v>N/A</v>
      </c>
      <c r="N51" s="129">
        <f ca="1">IF(TYPE(FIND("Tupé zbraně",INDIRECT("Weapons!$B$"&amp;MATCH(B51,Weapons!$C$3:$C$500,0)+2)))&lt;&gt;16,2,0)</f>
        <v>0</v>
      </c>
      <c r="O51" s="217"/>
      <c r="P51" s="179"/>
      <c r="Q51" s="154">
        <v>0</v>
      </c>
      <c r="R51" s="215">
        <f ca="1">IF(B51&lt;&gt;"",INDIRECT("$D$"&amp;MATCH(IF(B51=Weapons!$AB$2,"Nože",IF(INDIRECT("Weapons!$B$"&amp;MATCH(B51,Weapons!$C$3:$C$500,0)+2)="Nože","Nože",LEFT(INDIRECT("Weapons!$B$"&amp;MATCH(B51,Weapons!$C$3:$C$500,0)+2),FIND(" -",INDIRECT("Weapons!$B$"&amp;MATCH(B51,Weapons!$C$3:$C$500,0)+2))-1))),$B$25:$B$31,0)+24),0)+Q51</f>
        <v>0</v>
      </c>
      <c r="S51" s="261"/>
      <c r="AA51" s="4" t="e">
        <f t="shared" si="0"/>
        <v>#VALUE!</v>
      </c>
      <c r="AB51" s="4" t="e">
        <f t="shared" si="1"/>
        <v>#VALUE!</v>
      </c>
      <c r="AC51" s="4" t="e">
        <f t="shared" si="2"/>
        <v>#VALUE!</v>
      </c>
      <c r="AE51" s="283">
        <f ca="1">MAX(IF(TYPE(MATCH(AE11,AE$3:AE10,0))&lt;&gt;16,MAX(INDIRECT("O"&amp;MATCH(AE11,AE$3:AE10,0)+32),IF(TYPE(MATCH(AE11,INDIRECT("AE"&amp;MATCH(AE11,AE$3:AE10,0)+3):AE10,0))&lt;&gt;16,INDIRECT("O"&amp;MATCH(AE11,INDIRECT("AE"&amp;MATCH(AE11,AE$3:AE10,0)+3):AE10,0)+32+MATCH(AE11,AE$3:AE10,0)),0)),0),IF(TYPE(MATCH(AE11,AE12:AE$12,0))&lt;&gt;16,MAX(INDIRECT("O"&amp;MATCH(AE11,AE12:AE$12,0)+41),IF(TYPE(MATCH(AE11,INDIRECT("AE"&amp;MATCH(AE11,AE12:AE$12,0)+12):AE$12,0))&lt;&gt;16,INDIRECT("O"&amp;MATCH(AE11,INDIRECT("AE"&amp;MATCH(AE11,AE12:AE$12,0)+12):AE$12,0)+41+MATCH(AE11,AE12:AE$12,0)),0)),0))</f>
        <v>0</v>
      </c>
    </row>
    <row r="52" spans="1:31">
      <c r="A52" s="222" t="b">
        <f ca="1">NOT(IF(B52&lt;&gt;"",TYPE(MATCH(INDIRECT("Weapons!$B$"&amp;MATCH(IF(B52=Weapons!$AB$2,Weapons!$C$3,B52),Weapons!$C$3:$C$500,0)+2),$B$33:$B$42,0))=16,FALSE))</f>
        <v>1</v>
      </c>
      <c r="B52" s="502"/>
      <c r="C52" s="498"/>
      <c r="D52" s="499"/>
      <c r="E52" s="178">
        <f ca="1">IF(OR(B52="",TYPE(FIND("Střelné zbraně",INDIRECT("Weapons!$B$"&amp;MATCH(B52,Weapons!$C$3:$C$500,0)+2)))&lt;&gt;16),0,IF(TYPE(FIND("Vrhací zbraně",INDIRECT("Weapons!$B$"&amp;MATCH(B52,Weapons!$C$3:$C$500,0)+2)))&lt;&gt;16,2,1))</f>
        <v>0</v>
      </c>
      <c r="F52" s="217"/>
      <c r="G52" s="179"/>
      <c r="H52" s="129">
        <f ca="1">IF(OR(B52="",TYPE(FIND("Střelné zbraně",INDIRECT("Weapons!$B$"&amp;MATCH(B52,Weapons!$C$3:$C$500,0)+2)))&lt;&gt;16,TYPE(FIND("Tupé zbraně",INDIRECT("Weapons!$B$"&amp;MATCH(B52,Weapons!$C$3:$C$500,0)+2)))&lt;&gt;16,TYPE(FIND("Vrhací zbraně",INDIRECT("Weapons!$B$"&amp;MATCH(B52,Weapons!$C$3:$C$500,0)+2)))&lt;&gt;16),0,1)</f>
        <v>0</v>
      </c>
      <c r="I52" s="217"/>
      <c r="J52" s="179"/>
      <c r="K52" s="129">
        <v>0</v>
      </c>
      <c r="L52" s="225">
        <v>0</v>
      </c>
      <c r="M52" s="179" t="str">
        <f>IF(B52=Weapons!$AB$2,15+INT(L52/(Character!$H$19/2))*5-IF(Character!$C$4="Amazonka",2,0)-IF(TYPE(MATCH("Učenlivý",Character!D11:D15,0))&lt;&gt;16,1,0),"N/A")</f>
        <v>N/A</v>
      </c>
      <c r="N52" s="129">
        <f ca="1">IF(TYPE(FIND("Tupé zbraně",INDIRECT("Weapons!$B$"&amp;MATCH(B52,Weapons!$C$3:$C$500,0)+2)))&lt;&gt;16,2,0)</f>
        <v>0</v>
      </c>
      <c r="O52" s="217"/>
      <c r="P52" s="179"/>
      <c r="Q52" s="154">
        <v>0</v>
      </c>
      <c r="R52" s="215">
        <f ca="1">IF(B52&lt;&gt;"",INDIRECT("$D$"&amp;MATCH(IF(B52=Weapons!$AB$2,"Nože",IF(INDIRECT("Weapons!$B$"&amp;MATCH(B52,Weapons!$C$3:$C$500,0)+2)="Nože","Nože",LEFT(INDIRECT("Weapons!$B$"&amp;MATCH(B52,Weapons!$C$3:$C$500,0)+2),FIND(" -",INDIRECT("Weapons!$B$"&amp;MATCH(B52,Weapons!$C$3:$C$500,0)+2))-1))),$B$25:$B$31,0)+24),0)+Q52</f>
        <v>0</v>
      </c>
      <c r="S52" s="261"/>
      <c r="AA52" s="4" t="e">
        <f t="shared" si="0"/>
        <v>#VALUE!</v>
      </c>
      <c r="AB52" s="4" t="e">
        <f t="shared" si="1"/>
        <v>#VALUE!</v>
      </c>
      <c r="AC52" s="4" t="e">
        <f t="shared" si="2"/>
        <v>#VALUE!</v>
      </c>
      <c r="AE52" s="284">
        <f ca="1">IF(TYPE(MATCH(AE12,AE$3:AE11,0))&lt;&gt;16,MAX(INDIRECT("O"&amp;MATCH(AE12,AE$3:AE11,0)+32),IF(TYPE(MATCH(AE12,INDIRECT("AE"&amp;MATCH(AE12,AE$3:AE11,0)+3):AE11,0))&lt;&gt;16,INDIRECT("O"&amp;MATCH(AE12,INDIRECT("AE"&amp;MATCH(AE12,AE$3:AE11,0)+3):AE11,0)+32+MATCH(AE12,AE$3:AE11,0)),0)),0)</f>
        <v>0</v>
      </c>
    </row>
    <row r="53" spans="1:31">
      <c r="A53" s="222" t="b">
        <f ca="1">NOT(IF(B53&lt;&gt;"",TYPE(MATCH(INDIRECT("Weapons!$B$"&amp;MATCH(IF(B53=Weapons!$AB$2,Weapons!$C$3,B53),Weapons!$C$3:$C$500,0)+2),$B$33:$B$42,0))=16,FALSE))</f>
        <v>1</v>
      </c>
      <c r="B53" s="496"/>
      <c r="C53" s="596"/>
      <c r="D53" s="510"/>
      <c r="E53" s="180">
        <f ca="1">IF(OR(B53="",TYPE(FIND("Střelné zbraně",INDIRECT("Weapons!$B$"&amp;MATCH(B53,Weapons!$C$3:$C$500,0)+2)))&lt;&gt;16),0,IF(TYPE(FIND("Vrhací zbraně",INDIRECT("Weapons!$B$"&amp;MATCH(B53,Weapons!$C$3:$C$500,0)+2)))&lt;&gt;16,2,1))</f>
        <v>0</v>
      </c>
      <c r="F53" s="220"/>
      <c r="G53" s="181"/>
      <c r="H53" s="130">
        <f ca="1">IF(OR(B53="",TYPE(FIND("Střelné zbraně",INDIRECT("Weapons!$B$"&amp;MATCH(B53,Weapons!$C$3:$C$500,0)+2)))&lt;&gt;16,TYPE(FIND("Tupé zbraně",INDIRECT("Weapons!$B$"&amp;MATCH(B53,Weapons!$C$3:$C$500,0)+2)))&lt;&gt;16,TYPE(FIND("Vrhací zbraně",INDIRECT("Weapons!$B$"&amp;MATCH(B53,Weapons!$C$3:$C$500,0)+2)))&lt;&gt;16),0,1)</f>
        <v>0</v>
      </c>
      <c r="I53" s="220"/>
      <c r="J53" s="181"/>
      <c r="K53" s="130">
        <v>0</v>
      </c>
      <c r="L53" s="226">
        <v>0</v>
      </c>
      <c r="M53" s="181" t="str">
        <f>IF(B53=Weapons!$AB$2,15+INT(L53/(Character!$H$19/2))*5-IF(Character!$C$4="Amazonka",2,0)-IF(TYPE(MATCH("Učenlivý",Character!D11:D15,0))&lt;&gt;16,1,0),"N/A")</f>
        <v>N/A</v>
      </c>
      <c r="N53" s="130">
        <f ca="1">IF(TYPE(FIND("Tupé zbraně",INDIRECT("Weapons!$B$"&amp;MATCH(B53,Weapons!$C$3:$C$500,0)+2)))&lt;&gt;16,2,0)</f>
        <v>0</v>
      </c>
      <c r="O53" s="220"/>
      <c r="P53" s="181"/>
      <c r="Q53" s="155">
        <v>0</v>
      </c>
      <c r="R53" s="216">
        <f ca="1">IF(B53&lt;&gt;"",INDIRECT("$D$"&amp;MATCH(IF(B53=Weapons!$AB$2,"Nože",IF(INDIRECT("Weapons!$B$"&amp;MATCH(B53,Weapons!$C$3:$C$500,0)+2)="Nože","Nože",LEFT(INDIRECT("Weapons!$B$"&amp;MATCH(B53,Weapons!$C$3:$C$500,0)+2),FIND(" -",INDIRECT("Weapons!$B$"&amp;MATCH(B53,Weapons!$C$3:$C$500,0)+2))-1))),$B$25:$B$31,0)+24),0)+Q53</f>
        <v>0</v>
      </c>
      <c r="S53" s="261"/>
      <c r="AA53" s="4" t="e">
        <f t="shared" si="0"/>
        <v>#VALUE!</v>
      </c>
      <c r="AB53" s="4" t="e">
        <f t="shared" si="1"/>
        <v>#VALUE!</v>
      </c>
      <c r="AC53" s="4" t="e">
        <f t="shared" si="2"/>
        <v>#VALUE!</v>
      </c>
    </row>
    <row r="54" spans="1:31">
      <c r="B54" s="58"/>
      <c r="AA54" s="4" t="e">
        <f t="shared" si="0"/>
        <v>#VALUE!</v>
      </c>
      <c r="AB54" s="4" t="e">
        <f t="shared" si="1"/>
        <v>#VALUE!</v>
      </c>
      <c r="AC54" s="4" t="e">
        <f t="shared" si="2"/>
        <v>#VALUE!</v>
      </c>
    </row>
    <row r="55" spans="1:31">
      <c r="B55" s="520" t="s">
        <v>672</v>
      </c>
      <c r="C55" s="521"/>
      <c r="D55" s="521"/>
      <c r="E55" s="521"/>
      <c r="F55" s="521"/>
      <c r="G55" s="521"/>
      <c r="H55" s="522"/>
      <c r="K55" s="520" t="s">
        <v>673</v>
      </c>
      <c r="L55" s="521"/>
      <c r="M55" s="521"/>
      <c r="N55" s="521"/>
      <c r="O55" s="521"/>
      <c r="P55" s="522"/>
      <c r="AA55" s="4" t="e">
        <f t="shared" si="0"/>
        <v>#VALUE!</v>
      </c>
      <c r="AB55" s="4" t="e">
        <f t="shared" si="1"/>
        <v>#VALUE!</v>
      </c>
      <c r="AC55" s="4" t="e">
        <f t="shared" si="2"/>
        <v>#VALUE!</v>
      </c>
    </row>
    <row r="56" spans="1:31">
      <c r="B56" s="617" t="s">
        <v>424</v>
      </c>
      <c r="C56" s="553" t="s">
        <v>336</v>
      </c>
      <c r="D56" s="553" t="s">
        <v>50</v>
      </c>
      <c r="E56" s="605" t="s">
        <v>772</v>
      </c>
      <c r="F56" s="606"/>
      <c r="G56" s="606"/>
      <c r="H56" s="607"/>
      <c r="K56" s="566" t="s">
        <v>424</v>
      </c>
      <c r="L56" s="609"/>
      <c r="M56" s="549" t="s">
        <v>336</v>
      </c>
      <c r="N56" s="550"/>
      <c r="O56" s="575" t="s">
        <v>50</v>
      </c>
      <c r="P56" s="550"/>
      <c r="AA56" s="4" t="e">
        <f t="shared" si="0"/>
        <v>#VALUE!</v>
      </c>
      <c r="AB56" s="4" t="e">
        <f t="shared" si="1"/>
        <v>#VALUE!</v>
      </c>
      <c r="AC56" s="4" t="e">
        <f t="shared" si="2"/>
        <v>#VALUE!</v>
      </c>
    </row>
    <row r="57" spans="1:31">
      <c r="B57" s="618"/>
      <c r="C57" s="619"/>
      <c r="D57" s="619"/>
      <c r="E57" s="614" t="s">
        <v>26</v>
      </c>
      <c r="F57" s="615"/>
      <c r="G57" s="615" t="s">
        <v>47</v>
      </c>
      <c r="H57" s="616"/>
      <c r="K57" s="610">
        <v>0</v>
      </c>
      <c r="L57" s="611"/>
      <c r="M57" s="551">
        <f>IF(K57=0,IF(TYPE(MATCH("Učenlivý",Character!I11:I15,0))&lt;&gt;16,20,25),IF(TYPE(MATCH("Učenlivý",Character!I11:I15,0))&lt;&gt;16,19,20))</f>
        <v>25</v>
      </c>
      <c r="N57" s="552"/>
      <c r="O57" s="608">
        <f>K57*IF(TYPE(MATCH("Učenlivý",Character!I11:I15,0))&lt;&gt;16,19,20)+IF(K57&lt;&gt;0,IF(TYPE(MATCH("Učenlivý",Character!I11:I15,0))&lt;&gt;16,1,5),0)</f>
        <v>0</v>
      </c>
      <c r="P57" s="552"/>
      <c r="AA57" s="4" t="e">
        <f t="shared" si="0"/>
        <v>#VALUE!</v>
      </c>
      <c r="AB57" s="4" t="e">
        <f t="shared" si="1"/>
        <v>#VALUE!</v>
      </c>
      <c r="AC57" s="4" t="e">
        <f t="shared" si="2"/>
        <v>#VALUE!</v>
      </c>
    </row>
    <row r="58" spans="1:31">
      <c r="B58" s="361">
        <v>0</v>
      </c>
      <c r="C58" s="350">
        <f>IF(B58=0,IF(TYPE(MATCH("Učenlivý",Character!D11:D15,0))&lt;&gt;16,20,25),IF(B58=10,"-----",IF(TYPE(MATCH("Učenlivý",Character!D11:D15,0))&lt;&gt;16,19,20)))</f>
        <v>25</v>
      </c>
      <c r="D58" s="353">
        <f>B58*IF(TYPE(MATCH("Učenlivý",Character!D11:D15,0))&lt;&gt;16,19,20)+IF(B58&lt;&gt;0,IF(TYPE(MATCH("Učenlivý",Character!D11:D15,0))&lt;&gt;16,1,5),0)</f>
        <v>0</v>
      </c>
      <c r="E58" s="612" t="e">
        <f ca="1">MIN(-10,Combat!D20+Combat!E20+Combat!F20+Combat!G20+Combat!H20+Combat!I20+Combat!J20-10+B58)</f>
        <v>#VALUE!</v>
      </c>
      <c r="F58" s="613"/>
      <c r="G58" s="608" t="e">
        <f ca="1">MIN(-10,Combat!D20+Combat!E21+Combat!F20+Combat!G20+Combat!H20+Combat!I20+Combat!J20-10+B58)</f>
        <v>#VALUE!</v>
      </c>
      <c r="H58" s="552"/>
      <c r="K58" s="551" t="e">
        <f>"Maximálně "&amp;AD1&amp;" obraných akcí za kolo"</f>
        <v>#VALUE!</v>
      </c>
      <c r="L58" s="608"/>
      <c r="M58" s="608"/>
      <c r="N58" s="608"/>
      <c r="O58" s="608"/>
      <c r="P58" s="552"/>
      <c r="AA58" s="4" t="e">
        <f t="shared" si="0"/>
        <v>#VALUE!</v>
      </c>
      <c r="AB58" s="4" t="e">
        <f t="shared" si="1"/>
        <v>#VALUE!</v>
      </c>
      <c r="AC58" s="4" t="e">
        <f t="shared" si="2"/>
        <v>#VALUE!</v>
      </c>
    </row>
    <row r="59" spans="1:31">
      <c r="B59" s="551" t="e">
        <f>"Maximálně "&amp;MAX(2+Character!I20,1)&amp;" útočných akcí za kolo"</f>
        <v>#VALUE!</v>
      </c>
      <c r="C59" s="608"/>
      <c r="D59" s="608"/>
      <c r="E59" s="608"/>
      <c r="F59" s="608"/>
      <c r="G59" s="608"/>
      <c r="H59" s="552"/>
      <c r="AA59" s="4" t="e">
        <f t="shared" si="0"/>
        <v>#VALUE!</v>
      </c>
      <c r="AB59" s="4" t="e">
        <f t="shared" si="1"/>
        <v>#VALUE!</v>
      </c>
      <c r="AC59" s="4" t="e">
        <f t="shared" si="2"/>
        <v>#VALUE!</v>
      </c>
    </row>
    <row r="60" spans="1:31">
      <c r="D60" s="4"/>
      <c r="AA60" s="4" t="e">
        <f t="shared" si="0"/>
        <v>#VALUE!</v>
      </c>
      <c r="AB60" s="4" t="e">
        <f t="shared" si="1"/>
        <v>#VALUE!</v>
      </c>
      <c r="AC60" s="4" t="e">
        <f t="shared" si="2"/>
        <v>#VALUE!</v>
      </c>
    </row>
    <row r="61" spans="1:31">
      <c r="AA61" s="4" t="e">
        <f t="shared" si="0"/>
        <v>#VALUE!</v>
      </c>
      <c r="AB61" s="4" t="e">
        <f t="shared" si="1"/>
        <v>#VALUE!</v>
      </c>
      <c r="AC61" s="4" t="e">
        <f t="shared" si="2"/>
        <v>#VALUE!</v>
      </c>
    </row>
    <row r="62" spans="1:31">
      <c r="AA62" s="4" t="e">
        <f t="shared" si="0"/>
        <v>#VALUE!</v>
      </c>
      <c r="AB62" s="4" t="e">
        <f t="shared" si="1"/>
        <v>#VALUE!</v>
      </c>
      <c r="AC62" s="4" t="e">
        <f t="shared" si="2"/>
        <v>#VALUE!</v>
      </c>
    </row>
    <row r="63" spans="1:31">
      <c r="AA63" s="4" t="e">
        <f t="shared" si="0"/>
        <v>#VALUE!</v>
      </c>
      <c r="AB63" s="4" t="e">
        <f t="shared" si="1"/>
        <v>#VALUE!</v>
      </c>
      <c r="AC63" s="4" t="e">
        <f t="shared" si="2"/>
        <v>#VALUE!</v>
      </c>
    </row>
    <row r="64" spans="1:31">
      <c r="AA64" s="4" t="e">
        <f t="shared" si="0"/>
        <v>#VALUE!</v>
      </c>
      <c r="AB64" s="4" t="e">
        <f t="shared" si="1"/>
        <v>#VALUE!</v>
      </c>
      <c r="AC64" s="4" t="e">
        <f t="shared" si="2"/>
        <v>#VALUE!</v>
      </c>
    </row>
    <row r="65" spans="27:29">
      <c r="AA65" s="4" t="e">
        <f t="shared" ref="AA65:AA128" si="10">2+(FLOOR((ROW()+$C$14-1)/$C$14,1)-1)*2</f>
        <v>#VALUE!</v>
      </c>
      <c r="AB65" s="4" t="e">
        <f t="shared" ref="AB65:AB128" si="11">2+(FLOOR((ROW()+$C$15-1)/$C$15,1)-1)*2</f>
        <v>#VALUE!</v>
      </c>
      <c r="AC65" s="4" t="e">
        <f t="shared" ref="AC65:AC128" si="12">2+(FLOOR((ROW()+$C$16-1)/$C$16,1)-1)*2</f>
        <v>#VALUE!</v>
      </c>
    </row>
    <row r="66" spans="27:29">
      <c r="AA66" s="4" t="e">
        <f t="shared" si="10"/>
        <v>#VALUE!</v>
      </c>
      <c r="AB66" s="4" t="e">
        <f t="shared" si="11"/>
        <v>#VALUE!</v>
      </c>
      <c r="AC66" s="4" t="e">
        <f t="shared" si="12"/>
        <v>#VALUE!</v>
      </c>
    </row>
    <row r="67" spans="27:29">
      <c r="AA67" s="4" t="e">
        <f t="shared" si="10"/>
        <v>#VALUE!</v>
      </c>
      <c r="AB67" s="4" t="e">
        <f t="shared" si="11"/>
        <v>#VALUE!</v>
      </c>
      <c r="AC67" s="4" t="e">
        <f t="shared" si="12"/>
        <v>#VALUE!</v>
      </c>
    </row>
    <row r="68" spans="27:29">
      <c r="AA68" s="4" t="e">
        <f t="shared" si="10"/>
        <v>#VALUE!</v>
      </c>
      <c r="AB68" s="4" t="e">
        <f t="shared" si="11"/>
        <v>#VALUE!</v>
      </c>
      <c r="AC68" s="4" t="e">
        <f t="shared" si="12"/>
        <v>#VALUE!</v>
      </c>
    </row>
    <row r="69" spans="27:29">
      <c r="AA69" s="4" t="e">
        <f t="shared" si="10"/>
        <v>#VALUE!</v>
      </c>
      <c r="AB69" s="4" t="e">
        <f t="shared" si="11"/>
        <v>#VALUE!</v>
      </c>
      <c r="AC69" s="4" t="e">
        <f t="shared" si="12"/>
        <v>#VALUE!</v>
      </c>
    </row>
    <row r="70" spans="27:29">
      <c r="AA70" s="4" t="e">
        <f t="shared" si="10"/>
        <v>#VALUE!</v>
      </c>
      <c r="AB70" s="4" t="e">
        <f t="shared" si="11"/>
        <v>#VALUE!</v>
      </c>
      <c r="AC70" s="4" t="e">
        <f t="shared" si="12"/>
        <v>#VALUE!</v>
      </c>
    </row>
    <row r="71" spans="27:29">
      <c r="AA71" s="4" t="e">
        <f t="shared" si="10"/>
        <v>#VALUE!</v>
      </c>
      <c r="AB71" s="4" t="e">
        <f t="shared" si="11"/>
        <v>#VALUE!</v>
      </c>
      <c r="AC71" s="4" t="e">
        <f t="shared" si="12"/>
        <v>#VALUE!</v>
      </c>
    </row>
    <row r="72" spans="27:29">
      <c r="AA72" s="4" t="e">
        <f t="shared" si="10"/>
        <v>#VALUE!</v>
      </c>
      <c r="AB72" s="4" t="e">
        <f t="shared" si="11"/>
        <v>#VALUE!</v>
      </c>
      <c r="AC72" s="4" t="e">
        <f t="shared" si="12"/>
        <v>#VALUE!</v>
      </c>
    </row>
    <row r="73" spans="27:29">
      <c r="AA73" s="4" t="e">
        <f t="shared" si="10"/>
        <v>#VALUE!</v>
      </c>
      <c r="AB73" s="4" t="e">
        <f t="shared" si="11"/>
        <v>#VALUE!</v>
      </c>
      <c r="AC73" s="4" t="e">
        <f t="shared" si="12"/>
        <v>#VALUE!</v>
      </c>
    </row>
    <row r="74" spans="27:29">
      <c r="AA74" s="4" t="e">
        <f t="shared" si="10"/>
        <v>#VALUE!</v>
      </c>
      <c r="AB74" s="4" t="e">
        <f t="shared" si="11"/>
        <v>#VALUE!</v>
      </c>
      <c r="AC74" s="4" t="e">
        <f t="shared" si="12"/>
        <v>#VALUE!</v>
      </c>
    </row>
    <row r="75" spans="27:29">
      <c r="AA75" s="4" t="e">
        <f t="shared" si="10"/>
        <v>#VALUE!</v>
      </c>
      <c r="AB75" s="4" t="e">
        <f t="shared" si="11"/>
        <v>#VALUE!</v>
      </c>
      <c r="AC75" s="4" t="e">
        <f t="shared" si="12"/>
        <v>#VALUE!</v>
      </c>
    </row>
    <row r="76" spans="27:29">
      <c r="AA76" s="4" t="e">
        <f t="shared" si="10"/>
        <v>#VALUE!</v>
      </c>
      <c r="AB76" s="4" t="e">
        <f t="shared" si="11"/>
        <v>#VALUE!</v>
      </c>
      <c r="AC76" s="4" t="e">
        <f t="shared" si="12"/>
        <v>#VALUE!</v>
      </c>
    </row>
    <row r="77" spans="27:29">
      <c r="AA77" s="4" t="e">
        <f t="shared" si="10"/>
        <v>#VALUE!</v>
      </c>
      <c r="AB77" s="4" t="e">
        <f t="shared" si="11"/>
        <v>#VALUE!</v>
      </c>
      <c r="AC77" s="4" t="e">
        <f t="shared" si="12"/>
        <v>#VALUE!</v>
      </c>
    </row>
    <row r="78" spans="27:29">
      <c r="AA78" s="4" t="e">
        <f t="shared" si="10"/>
        <v>#VALUE!</v>
      </c>
      <c r="AB78" s="4" t="e">
        <f t="shared" si="11"/>
        <v>#VALUE!</v>
      </c>
      <c r="AC78" s="4" t="e">
        <f t="shared" si="12"/>
        <v>#VALUE!</v>
      </c>
    </row>
    <row r="79" spans="27:29">
      <c r="AA79" s="4" t="e">
        <f t="shared" si="10"/>
        <v>#VALUE!</v>
      </c>
      <c r="AB79" s="4" t="e">
        <f t="shared" si="11"/>
        <v>#VALUE!</v>
      </c>
      <c r="AC79" s="4" t="e">
        <f t="shared" si="12"/>
        <v>#VALUE!</v>
      </c>
    </row>
    <row r="80" spans="27:29">
      <c r="AA80" s="4" t="e">
        <f t="shared" si="10"/>
        <v>#VALUE!</v>
      </c>
      <c r="AB80" s="4" t="e">
        <f t="shared" si="11"/>
        <v>#VALUE!</v>
      </c>
      <c r="AC80" s="4" t="e">
        <f t="shared" si="12"/>
        <v>#VALUE!</v>
      </c>
    </row>
    <row r="81" spans="27:29">
      <c r="AA81" s="4" t="e">
        <f t="shared" si="10"/>
        <v>#VALUE!</v>
      </c>
      <c r="AB81" s="4" t="e">
        <f t="shared" si="11"/>
        <v>#VALUE!</v>
      </c>
      <c r="AC81" s="4" t="e">
        <f t="shared" si="12"/>
        <v>#VALUE!</v>
      </c>
    </row>
    <row r="82" spans="27:29">
      <c r="AA82" s="4" t="e">
        <f t="shared" si="10"/>
        <v>#VALUE!</v>
      </c>
      <c r="AB82" s="4" t="e">
        <f t="shared" si="11"/>
        <v>#VALUE!</v>
      </c>
      <c r="AC82" s="4" t="e">
        <f t="shared" si="12"/>
        <v>#VALUE!</v>
      </c>
    </row>
    <row r="83" spans="27:29">
      <c r="AA83" s="4" t="e">
        <f t="shared" si="10"/>
        <v>#VALUE!</v>
      </c>
      <c r="AB83" s="4" t="e">
        <f t="shared" si="11"/>
        <v>#VALUE!</v>
      </c>
      <c r="AC83" s="4" t="e">
        <f t="shared" si="12"/>
        <v>#VALUE!</v>
      </c>
    </row>
    <row r="84" spans="27:29">
      <c r="AA84" s="4" t="e">
        <f t="shared" si="10"/>
        <v>#VALUE!</v>
      </c>
      <c r="AB84" s="4" t="e">
        <f t="shared" si="11"/>
        <v>#VALUE!</v>
      </c>
      <c r="AC84" s="4" t="e">
        <f t="shared" si="12"/>
        <v>#VALUE!</v>
      </c>
    </row>
    <row r="85" spans="27:29">
      <c r="AA85" s="4" t="e">
        <f t="shared" si="10"/>
        <v>#VALUE!</v>
      </c>
      <c r="AB85" s="4" t="e">
        <f t="shared" si="11"/>
        <v>#VALUE!</v>
      </c>
      <c r="AC85" s="4" t="e">
        <f t="shared" si="12"/>
        <v>#VALUE!</v>
      </c>
    </row>
    <row r="86" spans="27:29">
      <c r="AA86" s="4" t="e">
        <f t="shared" si="10"/>
        <v>#VALUE!</v>
      </c>
      <c r="AB86" s="4" t="e">
        <f t="shared" si="11"/>
        <v>#VALUE!</v>
      </c>
      <c r="AC86" s="4" t="e">
        <f t="shared" si="12"/>
        <v>#VALUE!</v>
      </c>
    </row>
    <row r="87" spans="27:29">
      <c r="AA87" s="4" t="e">
        <f t="shared" si="10"/>
        <v>#VALUE!</v>
      </c>
      <c r="AB87" s="4" t="e">
        <f t="shared" si="11"/>
        <v>#VALUE!</v>
      </c>
      <c r="AC87" s="4" t="e">
        <f t="shared" si="12"/>
        <v>#VALUE!</v>
      </c>
    </row>
    <row r="88" spans="27:29">
      <c r="AA88" s="4" t="e">
        <f t="shared" si="10"/>
        <v>#VALUE!</v>
      </c>
      <c r="AB88" s="4" t="e">
        <f t="shared" si="11"/>
        <v>#VALUE!</v>
      </c>
      <c r="AC88" s="4" t="e">
        <f t="shared" si="12"/>
        <v>#VALUE!</v>
      </c>
    </row>
    <row r="89" spans="27:29">
      <c r="AA89" s="4" t="e">
        <f t="shared" si="10"/>
        <v>#VALUE!</v>
      </c>
      <c r="AB89" s="4" t="e">
        <f t="shared" si="11"/>
        <v>#VALUE!</v>
      </c>
      <c r="AC89" s="4" t="e">
        <f t="shared" si="12"/>
        <v>#VALUE!</v>
      </c>
    </row>
    <row r="90" spans="27:29">
      <c r="AA90" s="4" t="e">
        <f t="shared" si="10"/>
        <v>#VALUE!</v>
      </c>
      <c r="AB90" s="4" t="e">
        <f t="shared" si="11"/>
        <v>#VALUE!</v>
      </c>
      <c r="AC90" s="4" t="e">
        <f t="shared" si="12"/>
        <v>#VALUE!</v>
      </c>
    </row>
    <row r="91" spans="27:29">
      <c r="AA91" s="4" t="e">
        <f t="shared" si="10"/>
        <v>#VALUE!</v>
      </c>
      <c r="AB91" s="4" t="e">
        <f t="shared" si="11"/>
        <v>#VALUE!</v>
      </c>
      <c r="AC91" s="4" t="e">
        <f t="shared" si="12"/>
        <v>#VALUE!</v>
      </c>
    </row>
    <row r="92" spans="27:29">
      <c r="AA92" s="4" t="e">
        <f t="shared" si="10"/>
        <v>#VALUE!</v>
      </c>
      <c r="AB92" s="4" t="e">
        <f t="shared" si="11"/>
        <v>#VALUE!</v>
      </c>
      <c r="AC92" s="4" t="e">
        <f t="shared" si="12"/>
        <v>#VALUE!</v>
      </c>
    </row>
    <row r="93" spans="27:29">
      <c r="AA93" s="4" t="e">
        <f t="shared" si="10"/>
        <v>#VALUE!</v>
      </c>
      <c r="AB93" s="4" t="e">
        <f t="shared" si="11"/>
        <v>#VALUE!</v>
      </c>
      <c r="AC93" s="4" t="e">
        <f t="shared" si="12"/>
        <v>#VALUE!</v>
      </c>
    </row>
    <row r="94" spans="27:29">
      <c r="AA94" s="4" t="e">
        <f t="shared" si="10"/>
        <v>#VALUE!</v>
      </c>
      <c r="AB94" s="4" t="e">
        <f t="shared" si="11"/>
        <v>#VALUE!</v>
      </c>
      <c r="AC94" s="4" t="e">
        <f t="shared" si="12"/>
        <v>#VALUE!</v>
      </c>
    </row>
    <row r="95" spans="27:29">
      <c r="AA95" s="4" t="e">
        <f t="shared" si="10"/>
        <v>#VALUE!</v>
      </c>
      <c r="AB95" s="4" t="e">
        <f t="shared" si="11"/>
        <v>#VALUE!</v>
      </c>
      <c r="AC95" s="4" t="e">
        <f t="shared" si="12"/>
        <v>#VALUE!</v>
      </c>
    </row>
    <row r="96" spans="27:29">
      <c r="AA96" s="4" t="e">
        <f t="shared" si="10"/>
        <v>#VALUE!</v>
      </c>
      <c r="AB96" s="4" t="e">
        <f t="shared" si="11"/>
        <v>#VALUE!</v>
      </c>
      <c r="AC96" s="4" t="e">
        <f t="shared" si="12"/>
        <v>#VALUE!</v>
      </c>
    </row>
    <row r="97" spans="27:29">
      <c r="AA97" s="4" t="e">
        <f t="shared" si="10"/>
        <v>#VALUE!</v>
      </c>
      <c r="AB97" s="4" t="e">
        <f t="shared" si="11"/>
        <v>#VALUE!</v>
      </c>
      <c r="AC97" s="4" t="e">
        <f t="shared" si="12"/>
        <v>#VALUE!</v>
      </c>
    </row>
    <row r="98" spans="27:29">
      <c r="AA98" s="4" t="e">
        <f t="shared" si="10"/>
        <v>#VALUE!</v>
      </c>
      <c r="AB98" s="4" t="e">
        <f t="shared" si="11"/>
        <v>#VALUE!</v>
      </c>
      <c r="AC98" s="4" t="e">
        <f t="shared" si="12"/>
        <v>#VALUE!</v>
      </c>
    </row>
    <row r="99" spans="27:29">
      <c r="AA99" s="4" t="e">
        <f t="shared" si="10"/>
        <v>#VALUE!</v>
      </c>
      <c r="AB99" s="4" t="e">
        <f t="shared" si="11"/>
        <v>#VALUE!</v>
      </c>
      <c r="AC99" s="4" t="e">
        <f t="shared" si="12"/>
        <v>#VALUE!</v>
      </c>
    </row>
    <row r="100" spans="27:29">
      <c r="AA100" s="4" t="e">
        <f t="shared" si="10"/>
        <v>#VALUE!</v>
      </c>
      <c r="AB100" s="4" t="e">
        <f t="shared" si="11"/>
        <v>#VALUE!</v>
      </c>
      <c r="AC100" s="4" t="e">
        <f t="shared" si="12"/>
        <v>#VALUE!</v>
      </c>
    </row>
    <row r="101" spans="27:29">
      <c r="AA101" s="4" t="e">
        <f t="shared" si="10"/>
        <v>#VALUE!</v>
      </c>
      <c r="AB101" s="4" t="e">
        <f t="shared" si="11"/>
        <v>#VALUE!</v>
      </c>
      <c r="AC101" s="4" t="e">
        <f t="shared" si="12"/>
        <v>#VALUE!</v>
      </c>
    </row>
    <row r="102" spans="27:29">
      <c r="AA102" s="4" t="e">
        <f t="shared" si="10"/>
        <v>#VALUE!</v>
      </c>
      <c r="AB102" s="4" t="e">
        <f t="shared" si="11"/>
        <v>#VALUE!</v>
      </c>
      <c r="AC102" s="4" t="e">
        <f t="shared" si="12"/>
        <v>#VALUE!</v>
      </c>
    </row>
    <row r="103" spans="27:29">
      <c r="AA103" s="4" t="e">
        <f t="shared" si="10"/>
        <v>#VALUE!</v>
      </c>
      <c r="AB103" s="4" t="e">
        <f t="shared" si="11"/>
        <v>#VALUE!</v>
      </c>
      <c r="AC103" s="4" t="e">
        <f t="shared" si="12"/>
        <v>#VALUE!</v>
      </c>
    </row>
    <row r="104" spans="27:29">
      <c r="AA104" s="4" t="e">
        <f t="shared" si="10"/>
        <v>#VALUE!</v>
      </c>
      <c r="AB104" s="4" t="e">
        <f t="shared" si="11"/>
        <v>#VALUE!</v>
      </c>
      <c r="AC104" s="4" t="e">
        <f t="shared" si="12"/>
        <v>#VALUE!</v>
      </c>
    </row>
    <row r="105" spans="27:29">
      <c r="AA105" s="4" t="e">
        <f t="shared" si="10"/>
        <v>#VALUE!</v>
      </c>
      <c r="AB105" s="4" t="e">
        <f t="shared" si="11"/>
        <v>#VALUE!</v>
      </c>
      <c r="AC105" s="4" t="e">
        <f t="shared" si="12"/>
        <v>#VALUE!</v>
      </c>
    </row>
    <row r="106" spans="27:29">
      <c r="AA106" s="4" t="e">
        <f t="shared" si="10"/>
        <v>#VALUE!</v>
      </c>
      <c r="AB106" s="4" t="e">
        <f t="shared" si="11"/>
        <v>#VALUE!</v>
      </c>
      <c r="AC106" s="4" t="e">
        <f t="shared" si="12"/>
        <v>#VALUE!</v>
      </c>
    </row>
    <row r="107" spans="27:29">
      <c r="AA107" s="4" t="e">
        <f t="shared" si="10"/>
        <v>#VALUE!</v>
      </c>
      <c r="AB107" s="4" t="e">
        <f t="shared" si="11"/>
        <v>#VALUE!</v>
      </c>
      <c r="AC107" s="4" t="e">
        <f t="shared" si="12"/>
        <v>#VALUE!</v>
      </c>
    </row>
    <row r="108" spans="27:29">
      <c r="AA108" s="4" t="e">
        <f t="shared" si="10"/>
        <v>#VALUE!</v>
      </c>
      <c r="AB108" s="4" t="e">
        <f t="shared" si="11"/>
        <v>#VALUE!</v>
      </c>
      <c r="AC108" s="4" t="e">
        <f t="shared" si="12"/>
        <v>#VALUE!</v>
      </c>
    </row>
    <row r="109" spans="27:29">
      <c r="AA109" s="4" t="e">
        <f t="shared" si="10"/>
        <v>#VALUE!</v>
      </c>
      <c r="AB109" s="4" t="e">
        <f t="shared" si="11"/>
        <v>#VALUE!</v>
      </c>
      <c r="AC109" s="4" t="e">
        <f t="shared" si="12"/>
        <v>#VALUE!</v>
      </c>
    </row>
    <row r="110" spans="27:29">
      <c r="AA110" s="4" t="e">
        <f t="shared" si="10"/>
        <v>#VALUE!</v>
      </c>
      <c r="AB110" s="4" t="e">
        <f t="shared" si="11"/>
        <v>#VALUE!</v>
      </c>
      <c r="AC110" s="4" t="e">
        <f t="shared" si="12"/>
        <v>#VALUE!</v>
      </c>
    </row>
    <row r="111" spans="27:29">
      <c r="AA111" s="4" t="e">
        <f t="shared" si="10"/>
        <v>#VALUE!</v>
      </c>
      <c r="AB111" s="4" t="e">
        <f t="shared" si="11"/>
        <v>#VALUE!</v>
      </c>
      <c r="AC111" s="4" t="e">
        <f t="shared" si="12"/>
        <v>#VALUE!</v>
      </c>
    </row>
    <row r="112" spans="27:29">
      <c r="AA112" s="4" t="e">
        <f t="shared" si="10"/>
        <v>#VALUE!</v>
      </c>
      <c r="AB112" s="4" t="e">
        <f t="shared" si="11"/>
        <v>#VALUE!</v>
      </c>
      <c r="AC112" s="4" t="e">
        <f t="shared" si="12"/>
        <v>#VALUE!</v>
      </c>
    </row>
    <row r="113" spans="27:29">
      <c r="AA113" s="4" t="e">
        <f t="shared" si="10"/>
        <v>#VALUE!</v>
      </c>
      <c r="AB113" s="4" t="e">
        <f t="shared" si="11"/>
        <v>#VALUE!</v>
      </c>
      <c r="AC113" s="4" t="e">
        <f t="shared" si="12"/>
        <v>#VALUE!</v>
      </c>
    </row>
    <row r="114" spans="27:29">
      <c r="AA114" s="4" t="e">
        <f t="shared" si="10"/>
        <v>#VALUE!</v>
      </c>
      <c r="AB114" s="4" t="e">
        <f t="shared" si="11"/>
        <v>#VALUE!</v>
      </c>
      <c r="AC114" s="4" t="e">
        <f t="shared" si="12"/>
        <v>#VALUE!</v>
      </c>
    </row>
    <row r="115" spans="27:29">
      <c r="AA115" s="4" t="e">
        <f t="shared" si="10"/>
        <v>#VALUE!</v>
      </c>
      <c r="AB115" s="4" t="e">
        <f t="shared" si="11"/>
        <v>#VALUE!</v>
      </c>
      <c r="AC115" s="4" t="e">
        <f t="shared" si="12"/>
        <v>#VALUE!</v>
      </c>
    </row>
    <row r="116" spans="27:29">
      <c r="AA116" s="4" t="e">
        <f t="shared" si="10"/>
        <v>#VALUE!</v>
      </c>
      <c r="AB116" s="4" t="e">
        <f t="shared" si="11"/>
        <v>#VALUE!</v>
      </c>
      <c r="AC116" s="4" t="e">
        <f t="shared" si="12"/>
        <v>#VALUE!</v>
      </c>
    </row>
    <row r="117" spans="27:29">
      <c r="AA117" s="4" t="e">
        <f t="shared" si="10"/>
        <v>#VALUE!</v>
      </c>
      <c r="AB117" s="4" t="e">
        <f t="shared" si="11"/>
        <v>#VALUE!</v>
      </c>
      <c r="AC117" s="4" t="e">
        <f t="shared" si="12"/>
        <v>#VALUE!</v>
      </c>
    </row>
    <row r="118" spans="27:29">
      <c r="AA118" s="4" t="e">
        <f t="shared" si="10"/>
        <v>#VALUE!</v>
      </c>
      <c r="AB118" s="4" t="e">
        <f t="shared" si="11"/>
        <v>#VALUE!</v>
      </c>
      <c r="AC118" s="4" t="e">
        <f t="shared" si="12"/>
        <v>#VALUE!</v>
      </c>
    </row>
    <row r="119" spans="27:29">
      <c r="AA119" s="4" t="e">
        <f t="shared" si="10"/>
        <v>#VALUE!</v>
      </c>
      <c r="AB119" s="4" t="e">
        <f t="shared" si="11"/>
        <v>#VALUE!</v>
      </c>
      <c r="AC119" s="4" t="e">
        <f t="shared" si="12"/>
        <v>#VALUE!</v>
      </c>
    </row>
    <row r="120" spans="27:29">
      <c r="AA120" s="4" t="e">
        <f t="shared" si="10"/>
        <v>#VALUE!</v>
      </c>
      <c r="AB120" s="4" t="e">
        <f t="shared" si="11"/>
        <v>#VALUE!</v>
      </c>
      <c r="AC120" s="4" t="e">
        <f t="shared" si="12"/>
        <v>#VALUE!</v>
      </c>
    </row>
    <row r="121" spans="27:29">
      <c r="AA121" s="4" t="e">
        <f t="shared" si="10"/>
        <v>#VALUE!</v>
      </c>
      <c r="AB121" s="4" t="e">
        <f t="shared" si="11"/>
        <v>#VALUE!</v>
      </c>
      <c r="AC121" s="4" t="e">
        <f t="shared" si="12"/>
        <v>#VALUE!</v>
      </c>
    </row>
    <row r="122" spans="27:29">
      <c r="AA122" s="4" t="e">
        <f t="shared" si="10"/>
        <v>#VALUE!</v>
      </c>
      <c r="AB122" s="4" t="e">
        <f t="shared" si="11"/>
        <v>#VALUE!</v>
      </c>
      <c r="AC122" s="4" t="e">
        <f t="shared" si="12"/>
        <v>#VALUE!</v>
      </c>
    </row>
    <row r="123" spans="27:29">
      <c r="AA123" s="4" t="e">
        <f t="shared" si="10"/>
        <v>#VALUE!</v>
      </c>
      <c r="AB123" s="4" t="e">
        <f t="shared" si="11"/>
        <v>#VALUE!</v>
      </c>
      <c r="AC123" s="4" t="e">
        <f t="shared" si="12"/>
        <v>#VALUE!</v>
      </c>
    </row>
    <row r="124" spans="27:29">
      <c r="AA124" s="4" t="e">
        <f t="shared" si="10"/>
        <v>#VALUE!</v>
      </c>
      <c r="AB124" s="4" t="e">
        <f t="shared" si="11"/>
        <v>#VALUE!</v>
      </c>
      <c r="AC124" s="4" t="e">
        <f t="shared" si="12"/>
        <v>#VALUE!</v>
      </c>
    </row>
    <row r="125" spans="27:29">
      <c r="AA125" s="4" t="e">
        <f t="shared" si="10"/>
        <v>#VALUE!</v>
      </c>
      <c r="AB125" s="4" t="e">
        <f t="shared" si="11"/>
        <v>#VALUE!</v>
      </c>
      <c r="AC125" s="4" t="e">
        <f t="shared" si="12"/>
        <v>#VALUE!</v>
      </c>
    </row>
    <row r="126" spans="27:29">
      <c r="AA126" s="4" t="e">
        <f t="shared" si="10"/>
        <v>#VALUE!</v>
      </c>
      <c r="AB126" s="4" t="e">
        <f t="shared" si="11"/>
        <v>#VALUE!</v>
      </c>
      <c r="AC126" s="4" t="e">
        <f t="shared" si="12"/>
        <v>#VALUE!</v>
      </c>
    </row>
    <row r="127" spans="27:29">
      <c r="AA127" s="4" t="e">
        <f t="shared" si="10"/>
        <v>#VALUE!</v>
      </c>
      <c r="AB127" s="4" t="e">
        <f t="shared" si="11"/>
        <v>#VALUE!</v>
      </c>
      <c r="AC127" s="4" t="e">
        <f t="shared" si="12"/>
        <v>#VALUE!</v>
      </c>
    </row>
    <row r="128" spans="27:29">
      <c r="AA128" s="4" t="e">
        <f t="shared" si="10"/>
        <v>#VALUE!</v>
      </c>
      <c r="AB128" s="4" t="e">
        <f t="shared" si="11"/>
        <v>#VALUE!</v>
      </c>
      <c r="AC128" s="4" t="e">
        <f t="shared" si="12"/>
        <v>#VALUE!</v>
      </c>
    </row>
    <row r="129" spans="27:29">
      <c r="AA129" s="4" t="e">
        <f t="shared" ref="AA129:AA192" si="13">2+(FLOOR((ROW()+$C$14-1)/$C$14,1)-1)*2</f>
        <v>#VALUE!</v>
      </c>
      <c r="AB129" s="4" t="e">
        <f t="shared" ref="AB129:AB192" si="14">2+(FLOOR((ROW()+$C$15-1)/$C$15,1)-1)*2</f>
        <v>#VALUE!</v>
      </c>
      <c r="AC129" s="4" t="e">
        <f t="shared" ref="AC129:AC192" si="15">2+(FLOOR((ROW()+$C$16-1)/$C$16,1)-1)*2</f>
        <v>#VALUE!</v>
      </c>
    </row>
    <row r="130" spans="27:29">
      <c r="AA130" s="4" t="e">
        <f t="shared" si="13"/>
        <v>#VALUE!</v>
      </c>
      <c r="AB130" s="4" t="e">
        <f t="shared" si="14"/>
        <v>#VALUE!</v>
      </c>
      <c r="AC130" s="4" t="e">
        <f t="shared" si="15"/>
        <v>#VALUE!</v>
      </c>
    </row>
    <row r="131" spans="27:29">
      <c r="AA131" s="4" t="e">
        <f t="shared" si="13"/>
        <v>#VALUE!</v>
      </c>
      <c r="AB131" s="4" t="e">
        <f t="shared" si="14"/>
        <v>#VALUE!</v>
      </c>
      <c r="AC131" s="4" t="e">
        <f t="shared" si="15"/>
        <v>#VALUE!</v>
      </c>
    </row>
    <row r="132" spans="27:29">
      <c r="AA132" s="4" t="e">
        <f t="shared" si="13"/>
        <v>#VALUE!</v>
      </c>
      <c r="AB132" s="4" t="e">
        <f t="shared" si="14"/>
        <v>#VALUE!</v>
      </c>
      <c r="AC132" s="4" t="e">
        <f t="shared" si="15"/>
        <v>#VALUE!</v>
      </c>
    </row>
    <row r="133" spans="27:29">
      <c r="AA133" s="4" t="e">
        <f t="shared" si="13"/>
        <v>#VALUE!</v>
      </c>
      <c r="AB133" s="4" t="e">
        <f t="shared" si="14"/>
        <v>#VALUE!</v>
      </c>
      <c r="AC133" s="4" t="e">
        <f t="shared" si="15"/>
        <v>#VALUE!</v>
      </c>
    </row>
    <row r="134" spans="27:29">
      <c r="AA134" s="4" t="e">
        <f t="shared" si="13"/>
        <v>#VALUE!</v>
      </c>
      <c r="AB134" s="4" t="e">
        <f t="shared" si="14"/>
        <v>#VALUE!</v>
      </c>
      <c r="AC134" s="4" t="e">
        <f t="shared" si="15"/>
        <v>#VALUE!</v>
      </c>
    </row>
    <row r="135" spans="27:29">
      <c r="AA135" s="4" t="e">
        <f t="shared" si="13"/>
        <v>#VALUE!</v>
      </c>
      <c r="AB135" s="4" t="e">
        <f t="shared" si="14"/>
        <v>#VALUE!</v>
      </c>
      <c r="AC135" s="4" t="e">
        <f t="shared" si="15"/>
        <v>#VALUE!</v>
      </c>
    </row>
    <row r="136" spans="27:29">
      <c r="AA136" s="4" t="e">
        <f t="shared" si="13"/>
        <v>#VALUE!</v>
      </c>
      <c r="AB136" s="4" t="e">
        <f t="shared" si="14"/>
        <v>#VALUE!</v>
      </c>
      <c r="AC136" s="4" t="e">
        <f t="shared" si="15"/>
        <v>#VALUE!</v>
      </c>
    </row>
    <row r="137" spans="27:29">
      <c r="AA137" s="4" t="e">
        <f t="shared" si="13"/>
        <v>#VALUE!</v>
      </c>
      <c r="AB137" s="4" t="e">
        <f t="shared" si="14"/>
        <v>#VALUE!</v>
      </c>
      <c r="AC137" s="4" t="e">
        <f t="shared" si="15"/>
        <v>#VALUE!</v>
      </c>
    </row>
    <row r="138" spans="27:29">
      <c r="AA138" s="4" t="e">
        <f t="shared" si="13"/>
        <v>#VALUE!</v>
      </c>
      <c r="AB138" s="4" t="e">
        <f t="shared" si="14"/>
        <v>#VALUE!</v>
      </c>
      <c r="AC138" s="4" t="e">
        <f t="shared" si="15"/>
        <v>#VALUE!</v>
      </c>
    </row>
    <row r="139" spans="27:29">
      <c r="AA139" s="4" t="e">
        <f t="shared" si="13"/>
        <v>#VALUE!</v>
      </c>
      <c r="AB139" s="4" t="e">
        <f t="shared" si="14"/>
        <v>#VALUE!</v>
      </c>
      <c r="AC139" s="4" t="e">
        <f t="shared" si="15"/>
        <v>#VALUE!</v>
      </c>
    </row>
    <row r="140" spans="27:29">
      <c r="AA140" s="4" t="e">
        <f t="shared" si="13"/>
        <v>#VALUE!</v>
      </c>
      <c r="AB140" s="4" t="e">
        <f t="shared" si="14"/>
        <v>#VALUE!</v>
      </c>
      <c r="AC140" s="4" t="e">
        <f t="shared" si="15"/>
        <v>#VALUE!</v>
      </c>
    </row>
    <row r="141" spans="27:29">
      <c r="AA141" s="4" t="e">
        <f t="shared" si="13"/>
        <v>#VALUE!</v>
      </c>
      <c r="AB141" s="4" t="e">
        <f t="shared" si="14"/>
        <v>#VALUE!</v>
      </c>
      <c r="AC141" s="4" t="e">
        <f t="shared" si="15"/>
        <v>#VALUE!</v>
      </c>
    </row>
    <row r="142" spans="27:29">
      <c r="AA142" s="4" t="e">
        <f t="shared" si="13"/>
        <v>#VALUE!</v>
      </c>
      <c r="AB142" s="4" t="e">
        <f t="shared" si="14"/>
        <v>#VALUE!</v>
      </c>
      <c r="AC142" s="4" t="e">
        <f t="shared" si="15"/>
        <v>#VALUE!</v>
      </c>
    </row>
    <row r="143" spans="27:29">
      <c r="AA143" s="4" t="e">
        <f t="shared" si="13"/>
        <v>#VALUE!</v>
      </c>
      <c r="AB143" s="4" t="e">
        <f t="shared" si="14"/>
        <v>#VALUE!</v>
      </c>
      <c r="AC143" s="4" t="e">
        <f t="shared" si="15"/>
        <v>#VALUE!</v>
      </c>
    </row>
    <row r="144" spans="27:29">
      <c r="AA144" s="4" t="e">
        <f t="shared" si="13"/>
        <v>#VALUE!</v>
      </c>
      <c r="AB144" s="4" t="e">
        <f t="shared" si="14"/>
        <v>#VALUE!</v>
      </c>
      <c r="AC144" s="4" t="e">
        <f t="shared" si="15"/>
        <v>#VALUE!</v>
      </c>
    </row>
    <row r="145" spans="27:29">
      <c r="AA145" s="4" t="e">
        <f t="shared" si="13"/>
        <v>#VALUE!</v>
      </c>
      <c r="AB145" s="4" t="e">
        <f t="shared" si="14"/>
        <v>#VALUE!</v>
      </c>
      <c r="AC145" s="4" t="e">
        <f t="shared" si="15"/>
        <v>#VALUE!</v>
      </c>
    </row>
    <row r="146" spans="27:29">
      <c r="AA146" s="4" t="e">
        <f t="shared" si="13"/>
        <v>#VALUE!</v>
      </c>
      <c r="AB146" s="4" t="e">
        <f t="shared" si="14"/>
        <v>#VALUE!</v>
      </c>
      <c r="AC146" s="4" t="e">
        <f t="shared" si="15"/>
        <v>#VALUE!</v>
      </c>
    </row>
    <row r="147" spans="27:29">
      <c r="AA147" s="4" t="e">
        <f t="shared" si="13"/>
        <v>#VALUE!</v>
      </c>
      <c r="AB147" s="4" t="e">
        <f t="shared" si="14"/>
        <v>#VALUE!</v>
      </c>
      <c r="AC147" s="4" t="e">
        <f t="shared" si="15"/>
        <v>#VALUE!</v>
      </c>
    </row>
    <row r="148" spans="27:29">
      <c r="AA148" s="4" t="e">
        <f t="shared" si="13"/>
        <v>#VALUE!</v>
      </c>
      <c r="AB148" s="4" t="e">
        <f t="shared" si="14"/>
        <v>#VALUE!</v>
      </c>
      <c r="AC148" s="4" t="e">
        <f t="shared" si="15"/>
        <v>#VALUE!</v>
      </c>
    </row>
    <row r="149" spans="27:29">
      <c r="AA149" s="4" t="e">
        <f t="shared" si="13"/>
        <v>#VALUE!</v>
      </c>
      <c r="AB149" s="4" t="e">
        <f t="shared" si="14"/>
        <v>#VALUE!</v>
      </c>
      <c r="AC149" s="4" t="e">
        <f t="shared" si="15"/>
        <v>#VALUE!</v>
      </c>
    </row>
    <row r="150" spans="27:29">
      <c r="AA150" s="4" t="e">
        <f t="shared" si="13"/>
        <v>#VALUE!</v>
      </c>
      <c r="AB150" s="4" t="e">
        <f t="shared" si="14"/>
        <v>#VALUE!</v>
      </c>
      <c r="AC150" s="4" t="e">
        <f t="shared" si="15"/>
        <v>#VALUE!</v>
      </c>
    </row>
    <row r="151" spans="27:29">
      <c r="AA151" s="4" t="e">
        <f t="shared" si="13"/>
        <v>#VALUE!</v>
      </c>
      <c r="AB151" s="4" t="e">
        <f t="shared" si="14"/>
        <v>#VALUE!</v>
      </c>
      <c r="AC151" s="4" t="e">
        <f t="shared" si="15"/>
        <v>#VALUE!</v>
      </c>
    </row>
    <row r="152" spans="27:29">
      <c r="AA152" s="4" t="e">
        <f t="shared" si="13"/>
        <v>#VALUE!</v>
      </c>
      <c r="AB152" s="4" t="e">
        <f t="shared" si="14"/>
        <v>#VALUE!</v>
      </c>
      <c r="AC152" s="4" t="e">
        <f t="shared" si="15"/>
        <v>#VALUE!</v>
      </c>
    </row>
    <row r="153" spans="27:29">
      <c r="AA153" s="4" t="e">
        <f t="shared" si="13"/>
        <v>#VALUE!</v>
      </c>
      <c r="AB153" s="4" t="e">
        <f t="shared" si="14"/>
        <v>#VALUE!</v>
      </c>
      <c r="AC153" s="4" t="e">
        <f t="shared" si="15"/>
        <v>#VALUE!</v>
      </c>
    </row>
    <row r="154" spans="27:29">
      <c r="AA154" s="4" t="e">
        <f t="shared" si="13"/>
        <v>#VALUE!</v>
      </c>
      <c r="AB154" s="4" t="e">
        <f t="shared" si="14"/>
        <v>#VALUE!</v>
      </c>
      <c r="AC154" s="4" t="e">
        <f t="shared" si="15"/>
        <v>#VALUE!</v>
      </c>
    </row>
    <row r="155" spans="27:29">
      <c r="AA155" s="4" t="e">
        <f t="shared" si="13"/>
        <v>#VALUE!</v>
      </c>
      <c r="AB155" s="4" t="e">
        <f t="shared" si="14"/>
        <v>#VALUE!</v>
      </c>
      <c r="AC155" s="4" t="e">
        <f t="shared" si="15"/>
        <v>#VALUE!</v>
      </c>
    </row>
    <row r="156" spans="27:29">
      <c r="AA156" s="4" t="e">
        <f t="shared" si="13"/>
        <v>#VALUE!</v>
      </c>
      <c r="AB156" s="4" t="e">
        <f t="shared" si="14"/>
        <v>#VALUE!</v>
      </c>
      <c r="AC156" s="4" t="e">
        <f t="shared" si="15"/>
        <v>#VALUE!</v>
      </c>
    </row>
    <row r="157" spans="27:29">
      <c r="AA157" s="4" t="e">
        <f t="shared" si="13"/>
        <v>#VALUE!</v>
      </c>
      <c r="AB157" s="4" t="e">
        <f t="shared" si="14"/>
        <v>#VALUE!</v>
      </c>
      <c r="AC157" s="4" t="e">
        <f t="shared" si="15"/>
        <v>#VALUE!</v>
      </c>
    </row>
    <row r="158" spans="27:29">
      <c r="AA158" s="4" t="e">
        <f t="shared" si="13"/>
        <v>#VALUE!</v>
      </c>
      <c r="AB158" s="4" t="e">
        <f t="shared" si="14"/>
        <v>#VALUE!</v>
      </c>
      <c r="AC158" s="4" t="e">
        <f t="shared" si="15"/>
        <v>#VALUE!</v>
      </c>
    </row>
    <row r="159" spans="27:29">
      <c r="AA159" s="4" t="e">
        <f t="shared" si="13"/>
        <v>#VALUE!</v>
      </c>
      <c r="AB159" s="4" t="e">
        <f t="shared" si="14"/>
        <v>#VALUE!</v>
      </c>
      <c r="AC159" s="4" t="e">
        <f t="shared" si="15"/>
        <v>#VALUE!</v>
      </c>
    </row>
    <row r="160" spans="27:29">
      <c r="AA160" s="4" t="e">
        <f t="shared" si="13"/>
        <v>#VALUE!</v>
      </c>
      <c r="AB160" s="4" t="e">
        <f t="shared" si="14"/>
        <v>#VALUE!</v>
      </c>
      <c r="AC160" s="4" t="e">
        <f t="shared" si="15"/>
        <v>#VALUE!</v>
      </c>
    </row>
    <row r="161" spans="27:29">
      <c r="AA161" s="4" t="e">
        <f t="shared" si="13"/>
        <v>#VALUE!</v>
      </c>
      <c r="AB161" s="4" t="e">
        <f t="shared" si="14"/>
        <v>#VALUE!</v>
      </c>
      <c r="AC161" s="4" t="e">
        <f t="shared" si="15"/>
        <v>#VALUE!</v>
      </c>
    </row>
    <row r="162" spans="27:29">
      <c r="AA162" s="4" t="e">
        <f t="shared" si="13"/>
        <v>#VALUE!</v>
      </c>
      <c r="AB162" s="4" t="e">
        <f t="shared" si="14"/>
        <v>#VALUE!</v>
      </c>
      <c r="AC162" s="4" t="e">
        <f t="shared" si="15"/>
        <v>#VALUE!</v>
      </c>
    </row>
    <row r="163" spans="27:29">
      <c r="AA163" s="4" t="e">
        <f t="shared" si="13"/>
        <v>#VALUE!</v>
      </c>
      <c r="AB163" s="4" t="e">
        <f t="shared" si="14"/>
        <v>#VALUE!</v>
      </c>
      <c r="AC163" s="4" t="e">
        <f t="shared" si="15"/>
        <v>#VALUE!</v>
      </c>
    </row>
    <row r="164" spans="27:29">
      <c r="AA164" s="4" t="e">
        <f t="shared" si="13"/>
        <v>#VALUE!</v>
      </c>
      <c r="AB164" s="4" t="e">
        <f t="shared" si="14"/>
        <v>#VALUE!</v>
      </c>
      <c r="AC164" s="4" t="e">
        <f t="shared" si="15"/>
        <v>#VALUE!</v>
      </c>
    </row>
    <row r="165" spans="27:29">
      <c r="AA165" s="4" t="e">
        <f t="shared" si="13"/>
        <v>#VALUE!</v>
      </c>
      <c r="AB165" s="4" t="e">
        <f t="shared" si="14"/>
        <v>#VALUE!</v>
      </c>
      <c r="AC165" s="4" t="e">
        <f t="shared" si="15"/>
        <v>#VALUE!</v>
      </c>
    </row>
    <row r="166" spans="27:29">
      <c r="AA166" s="4" t="e">
        <f t="shared" si="13"/>
        <v>#VALUE!</v>
      </c>
      <c r="AB166" s="4" t="e">
        <f t="shared" si="14"/>
        <v>#VALUE!</v>
      </c>
      <c r="AC166" s="4" t="e">
        <f t="shared" si="15"/>
        <v>#VALUE!</v>
      </c>
    </row>
    <row r="167" spans="27:29">
      <c r="AA167" s="4" t="e">
        <f t="shared" si="13"/>
        <v>#VALUE!</v>
      </c>
      <c r="AB167" s="4" t="e">
        <f t="shared" si="14"/>
        <v>#VALUE!</v>
      </c>
      <c r="AC167" s="4" t="e">
        <f t="shared" si="15"/>
        <v>#VALUE!</v>
      </c>
    </row>
    <row r="168" spans="27:29">
      <c r="AA168" s="4" t="e">
        <f t="shared" si="13"/>
        <v>#VALUE!</v>
      </c>
      <c r="AB168" s="4" t="e">
        <f t="shared" si="14"/>
        <v>#VALUE!</v>
      </c>
      <c r="AC168" s="4" t="e">
        <f t="shared" si="15"/>
        <v>#VALUE!</v>
      </c>
    </row>
    <row r="169" spans="27:29">
      <c r="AA169" s="4" t="e">
        <f t="shared" si="13"/>
        <v>#VALUE!</v>
      </c>
      <c r="AB169" s="4" t="e">
        <f t="shared" si="14"/>
        <v>#VALUE!</v>
      </c>
      <c r="AC169" s="4" t="e">
        <f t="shared" si="15"/>
        <v>#VALUE!</v>
      </c>
    </row>
    <row r="170" spans="27:29">
      <c r="AA170" s="4" t="e">
        <f t="shared" si="13"/>
        <v>#VALUE!</v>
      </c>
      <c r="AB170" s="4" t="e">
        <f t="shared" si="14"/>
        <v>#VALUE!</v>
      </c>
      <c r="AC170" s="4" t="e">
        <f t="shared" si="15"/>
        <v>#VALUE!</v>
      </c>
    </row>
    <row r="171" spans="27:29">
      <c r="AA171" s="4" t="e">
        <f t="shared" si="13"/>
        <v>#VALUE!</v>
      </c>
      <c r="AB171" s="4" t="e">
        <f t="shared" si="14"/>
        <v>#VALUE!</v>
      </c>
      <c r="AC171" s="4" t="e">
        <f t="shared" si="15"/>
        <v>#VALUE!</v>
      </c>
    </row>
    <row r="172" spans="27:29">
      <c r="AA172" s="4" t="e">
        <f t="shared" si="13"/>
        <v>#VALUE!</v>
      </c>
      <c r="AB172" s="4" t="e">
        <f t="shared" si="14"/>
        <v>#VALUE!</v>
      </c>
      <c r="AC172" s="4" t="e">
        <f t="shared" si="15"/>
        <v>#VALUE!</v>
      </c>
    </row>
    <row r="173" spans="27:29">
      <c r="AA173" s="4" t="e">
        <f t="shared" si="13"/>
        <v>#VALUE!</v>
      </c>
      <c r="AB173" s="4" t="e">
        <f t="shared" si="14"/>
        <v>#VALUE!</v>
      </c>
      <c r="AC173" s="4" t="e">
        <f t="shared" si="15"/>
        <v>#VALUE!</v>
      </c>
    </row>
    <row r="174" spans="27:29">
      <c r="AA174" s="4" t="e">
        <f t="shared" si="13"/>
        <v>#VALUE!</v>
      </c>
      <c r="AB174" s="4" t="e">
        <f t="shared" si="14"/>
        <v>#VALUE!</v>
      </c>
      <c r="AC174" s="4" t="e">
        <f t="shared" si="15"/>
        <v>#VALUE!</v>
      </c>
    </row>
    <row r="175" spans="27:29">
      <c r="AA175" s="4" t="e">
        <f t="shared" si="13"/>
        <v>#VALUE!</v>
      </c>
      <c r="AB175" s="4" t="e">
        <f t="shared" si="14"/>
        <v>#VALUE!</v>
      </c>
      <c r="AC175" s="4" t="e">
        <f t="shared" si="15"/>
        <v>#VALUE!</v>
      </c>
    </row>
    <row r="176" spans="27:29">
      <c r="AA176" s="4" t="e">
        <f t="shared" si="13"/>
        <v>#VALUE!</v>
      </c>
      <c r="AB176" s="4" t="e">
        <f t="shared" si="14"/>
        <v>#VALUE!</v>
      </c>
      <c r="AC176" s="4" t="e">
        <f t="shared" si="15"/>
        <v>#VALUE!</v>
      </c>
    </row>
    <row r="177" spans="27:29">
      <c r="AA177" s="4" t="e">
        <f t="shared" si="13"/>
        <v>#VALUE!</v>
      </c>
      <c r="AB177" s="4" t="e">
        <f t="shared" si="14"/>
        <v>#VALUE!</v>
      </c>
      <c r="AC177" s="4" t="e">
        <f t="shared" si="15"/>
        <v>#VALUE!</v>
      </c>
    </row>
    <row r="178" spans="27:29">
      <c r="AA178" s="4" t="e">
        <f t="shared" si="13"/>
        <v>#VALUE!</v>
      </c>
      <c r="AB178" s="4" t="e">
        <f t="shared" si="14"/>
        <v>#VALUE!</v>
      </c>
      <c r="AC178" s="4" t="e">
        <f t="shared" si="15"/>
        <v>#VALUE!</v>
      </c>
    </row>
    <row r="179" spans="27:29">
      <c r="AA179" s="4" t="e">
        <f t="shared" si="13"/>
        <v>#VALUE!</v>
      </c>
      <c r="AB179" s="4" t="e">
        <f t="shared" si="14"/>
        <v>#VALUE!</v>
      </c>
      <c r="AC179" s="4" t="e">
        <f t="shared" si="15"/>
        <v>#VALUE!</v>
      </c>
    </row>
    <row r="180" spans="27:29">
      <c r="AA180" s="4" t="e">
        <f t="shared" si="13"/>
        <v>#VALUE!</v>
      </c>
      <c r="AB180" s="4" t="e">
        <f t="shared" si="14"/>
        <v>#VALUE!</v>
      </c>
      <c r="AC180" s="4" t="e">
        <f t="shared" si="15"/>
        <v>#VALUE!</v>
      </c>
    </row>
    <row r="181" spans="27:29">
      <c r="AA181" s="4" t="e">
        <f t="shared" si="13"/>
        <v>#VALUE!</v>
      </c>
      <c r="AB181" s="4" t="e">
        <f t="shared" si="14"/>
        <v>#VALUE!</v>
      </c>
      <c r="AC181" s="4" t="e">
        <f t="shared" si="15"/>
        <v>#VALUE!</v>
      </c>
    </row>
    <row r="182" spans="27:29">
      <c r="AA182" s="4" t="e">
        <f t="shared" si="13"/>
        <v>#VALUE!</v>
      </c>
      <c r="AB182" s="4" t="e">
        <f t="shared" si="14"/>
        <v>#VALUE!</v>
      </c>
      <c r="AC182" s="4" t="e">
        <f t="shared" si="15"/>
        <v>#VALUE!</v>
      </c>
    </row>
    <row r="183" spans="27:29">
      <c r="AA183" s="4" t="e">
        <f t="shared" si="13"/>
        <v>#VALUE!</v>
      </c>
      <c r="AB183" s="4" t="e">
        <f t="shared" si="14"/>
        <v>#VALUE!</v>
      </c>
      <c r="AC183" s="4" t="e">
        <f t="shared" si="15"/>
        <v>#VALUE!</v>
      </c>
    </row>
    <row r="184" spans="27:29">
      <c r="AA184" s="4" t="e">
        <f t="shared" si="13"/>
        <v>#VALUE!</v>
      </c>
      <c r="AB184" s="4" t="e">
        <f t="shared" si="14"/>
        <v>#VALUE!</v>
      </c>
      <c r="AC184" s="4" t="e">
        <f t="shared" si="15"/>
        <v>#VALUE!</v>
      </c>
    </row>
    <row r="185" spans="27:29">
      <c r="AA185" s="4" t="e">
        <f t="shared" si="13"/>
        <v>#VALUE!</v>
      </c>
      <c r="AB185" s="4" t="e">
        <f t="shared" si="14"/>
        <v>#VALUE!</v>
      </c>
      <c r="AC185" s="4" t="e">
        <f t="shared" si="15"/>
        <v>#VALUE!</v>
      </c>
    </row>
    <row r="186" spans="27:29">
      <c r="AA186" s="4" t="e">
        <f t="shared" si="13"/>
        <v>#VALUE!</v>
      </c>
      <c r="AB186" s="4" t="e">
        <f t="shared" si="14"/>
        <v>#VALUE!</v>
      </c>
      <c r="AC186" s="4" t="e">
        <f t="shared" si="15"/>
        <v>#VALUE!</v>
      </c>
    </row>
    <row r="187" spans="27:29">
      <c r="AA187" s="4" t="e">
        <f t="shared" si="13"/>
        <v>#VALUE!</v>
      </c>
      <c r="AB187" s="4" t="e">
        <f t="shared" si="14"/>
        <v>#VALUE!</v>
      </c>
      <c r="AC187" s="4" t="e">
        <f t="shared" si="15"/>
        <v>#VALUE!</v>
      </c>
    </row>
    <row r="188" spans="27:29">
      <c r="AA188" s="4" t="e">
        <f t="shared" si="13"/>
        <v>#VALUE!</v>
      </c>
      <c r="AB188" s="4" t="e">
        <f t="shared" si="14"/>
        <v>#VALUE!</v>
      </c>
      <c r="AC188" s="4" t="e">
        <f t="shared" si="15"/>
        <v>#VALUE!</v>
      </c>
    </row>
    <row r="189" spans="27:29">
      <c r="AA189" s="4" t="e">
        <f t="shared" si="13"/>
        <v>#VALUE!</v>
      </c>
      <c r="AB189" s="4" t="e">
        <f t="shared" si="14"/>
        <v>#VALUE!</v>
      </c>
      <c r="AC189" s="4" t="e">
        <f t="shared" si="15"/>
        <v>#VALUE!</v>
      </c>
    </row>
    <row r="190" spans="27:29">
      <c r="AA190" s="4" t="e">
        <f t="shared" si="13"/>
        <v>#VALUE!</v>
      </c>
      <c r="AB190" s="4" t="e">
        <f t="shared" si="14"/>
        <v>#VALUE!</v>
      </c>
      <c r="AC190" s="4" t="e">
        <f t="shared" si="15"/>
        <v>#VALUE!</v>
      </c>
    </row>
    <row r="191" spans="27:29">
      <c r="AA191" s="4" t="e">
        <f t="shared" si="13"/>
        <v>#VALUE!</v>
      </c>
      <c r="AB191" s="4" t="e">
        <f t="shared" si="14"/>
        <v>#VALUE!</v>
      </c>
      <c r="AC191" s="4" t="e">
        <f t="shared" si="15"/>
        <v>#VALUE!</v>
      </c>
    </row>
    <row r="192" spans="27:29">
      <c r="AA192" s="4" t="e">
        <f t="shared" si="13"/>
        <v>#VALUE!</v>
      </c>
      <c r="AB192" s="4" t="e">
        <f t="shared" si="14"/>
        <v>#VALUE!</v>
      </c>
      <c r="AC192" s="4" t="e">
        <f t="shared" si="15"/>
        <v>#VALUE!</v>
      </c>
    </row>
    <row r="193" spans="27:29">
      <c r="AA193" s="4" t="e">
        <f t="shared" ref="AA193:AA202" si="16">2+(FLOOR((ROW()+$C$14-1)/$C$14,1)-1)*2</f>
        <v>#VALUE!</v>
      </c>
      <c r="AB193" s="4" t="e">
        <f t="shared" ref="AB193:AB202" si="17">2+(FLOOR((ROW()+$C$15-1)/$C$15,1)-1)*2</f>
        <v>#VALUE!</v>
      </c>
      <c r="AC193" s="4" t="e">
        <f t="shared" ref="AC193:AC202" si="18">2+(FLOOR((ROW()+$C$16-1)/$C$16,1)-1)*2</f>
        <v>#VALUE!</v>
      </c>
    </row>
    <row r="194" spans="27:29">
      <c r="AA194" s="4" t="e">
        <f t="shared" si="16"/>
        <v>#VALUE!</v>
      </c>
      <c r="AB194" s="4" t="e">
        <f t="shared" si="17"/>
        <v>#VALUE!</v>
      </c>
      <c r="AC194" s="4" t="e">
        <f t="shared" si="18"/>
        <v>#VALUE!</v>
      </c>
    </row>
    <row r="195" spans="27:29">
      <c r="AA195" s="4" t="e">
        <f t="shared" si="16"/>
        <v>#VALUE!</v>
      </c>
      <c r="AB195" s="4" t="e">
        <f t="shared" si="17"/>
        <v>#VALUE!</v>
      </c>
      <c r="AC195" s="4" t="e">
        <f t="shared" si="18"/>
        <v>#VALUE!</v>
      </c>
    </row>
    <row r="196" spans="27:29">
      <c r="AA196" s="4" t="e">
        <f t="shared" si="16"/>
        <v>#VALUE!</v>
      </c>
      <c r="AB196" s="4" t="e">
        <f t="shared" si="17"/>
        <v>#VALUE!</v>
      </c>
      <c r="AC196" s="4" t="e">
        <f t="shared" si="18"/>
        <v>#VALUE!</v>
      </c>
    </row>
    <row r="197" spans="27:29">
      <c r="AA197" s="4" t="e">
        <f t="shared" si="16"/>
        <v>#VALUE!</v>
      </c>
      <c r="AB197" s="4" t="e">
        <f t="shared" si="17"/>
        <v>#VALUE!</v>
      </c>
      <c r="AC197" s="4" t="e">
        <f t="shared" si="18"/>
        <v>#VALUE!</v>
      </c>
    </row>
    <row r="198" spans="27:29">
      <c r="AA198" s="4" t="e">
        <f t="shared" si="16"/>
        <v>#VALUE!</v>
      </c>
      <c r="AB198" s="4" t="e">
        <f t="shared" si="17"/>
        <v>#VALUE!</v>
      </c>
      <c r="AC198" s="4" t="e">
        <f t="shared" si="18"/>
        <v>#VALUE!</v>
      </c>
    </row>
    <row r="199" spans="27:29">
      <c r="AA199" s="4" t="e">
        <f t="shared" si="16"/>
        <v>#VALUE!</v>
      </c>
      <c r="AB199" s="4" t="e">
        <f t="shared" si="17"/>
        <v>#VALUE!</v>
      </c>
      <c r="AC199" s="4" t="e">
        <f t="shared" si="18"/>
        <v>#VALUE!</v>
      </c>
    </row>
    <row r="200" spans="27:29">
      <c r="AA200" s="4" t="e">
        <f t="shared" si="16"/>
        <v>#VALUE!</v>
      </c>
      <c r="AB200" s="4" t="e">
        <f t="shared" si="17"/>
        <v>#VALUE!</v>
      </c>
      <c r="AC200" s="4" t="e">
        <f t="shared" si="18"/>
        <v>#VALUE!</v>
      </c>
    </row>
    <row r="201" spans="27:29">
      <c r="AA201" s="4" t="e">
        <f t="shared" si="16"/>
        <v>#VALUE!</v>
      </c>
      <c r="AB201" s="4" t="e">
        <f t="shared" si="17"/>
        <v>#VALUE!</v>
      </c>
      <c r="AC201" s="4" t="e">
        <f t="shared" si="18"/>
        <v>#VALUE!</v>
      </c>
    </row>
    <row r="202" spans="27:29">
      <c r="AA202" s="4" t="e">
        <f t="shared" si="16"/>
        <v>#VALUE!</v>
      </c>
      <c r="AB202" s="4" t="e">
        <f t="shared" si="17"/>
        <v>#VALUE!</v>
      </c>
      <c r="AC202" s="4" t="e">
        <f t="shared" si="18"/>
        <v>#VALUE!</v>
      </c>
    </row>
  </sheetData>
  <dataConsolidate/>
  <mergeCells count="115">
    <mergeCell ref="B59:H59"/>
    <mergeCell ref="O56:P56"/>
    <mergeCell ref="O57:P57"/>
    <mergeCell ref="K55:P55"/>
    <mergeCell ref="K56:L56"/>
    <mergeCell ref="K57:L57"/>
    <mergeCell ref="M56:N56"/>
    <mergeCell ref="M57:N57"/>
    <mergeCell ref="G58:H58"/>
    <mergeCell ref="K58:P58"/>
    <mergeCell ref="E58:F58"/>
    <mergeCell ref="E57:F57"/>
    <mergeCell ref="G57:H57"/>
    <mergeCell ref="E56:H56"/>
    <mergeCell ref="B56:B57"/>
    <mergeCell ref="C56:C57"/>
    <mergeCell ref="D56:D57"/>
    <mergeCell ref="B55:H55"/>
    <mergeCell ref="B2:N2"/>
    <mergeCell ref="E5:F5"/>
    <mergeCell ref="G5:H5"/>
    <mergeCell ref="I5:J5"/>
    <mergeCell ref="K5:L5"/>
    <mergeCell ref="M5:N5"/>
    <mergeCell ref="I4:J4"/>
    <mergeCell ref="K4:L4"/>
    <mergeCell ref="M3:N4"/>
    <mergeCell ref="B3:B4"/>
    <mergeCell ref="C3:C4"/>
    <mergeCell ref="E4:F4"/>
    <mergeCell ref="G4:H4"/>
    <mergeCell ref="D3:L3"/>
    <mergeCell ref="B53:D53"/>
    <mergeCell ref="B45:D45"/>
    <mergeCell ref="B46:D46"/>
    <mergeCell ref="B47:D47"/>
    <mergeCell ref="B48:D48"/>
    <mergeCell ref="B49:D49"/>
    <mergeCell ref="B50:D50"/>
    <mergeCell ref="B51:D51"/>
    <mergeCell ref="B52:D52"/>
    <mergeCell ref="B43:D43"/>
    <mergeCell ref="B44:D44"/>
    <mergeCell ref="B40:D40"/>
    <mergeCell ref="B41:D41"/>
    <mergeCell ref="H23:J23"/>
    <mergeCell ref="E43:R43"/>
    <mergeCell ref="B35:D35"/>
    <mergeCell ref="B36:D36"/>
    <mergeCell ref="B37:D37"/>
    <mergeCell ref="B38:D38"/>
    <mergeCell ref="B39:D39"/>
    <mergeCell ref="B33:D33"/>
    <mergeCell ref="B34:D34"/>
    <mergeCell ref="B32:D32"/>
    <mergeCell ref="E32:R32"/>
    <mergeCell ref="B42:D42"/>
    <mergeCell ref="G16:H16"/>
    <mergeCell ref="E16:F16"/>
    <mergeCell ref="K18:Q18"/>
    <mergeCell ref="G14:H14"/>
    <mergeCell ref="E20:F20"/>
    <mergeCell ref="E19:F19"/>
    <mergeCell ref="G19:H19"/>
    <mergeCell ref="B18:H18"/>
    <mergeCell ref="I14:J14"/>
    <mergeCell ref="I15:J15"/>
    <mergeCell ref="K14:L14"/>
    <mergeCell ref="K16:L16"/>
    <mergeCell ref="I16:J16"/>
    <mergeCell ref="O14:P14"/>
    <mergeCell ref="O15:P15"/>
    <mergeCell ref="S23:S24"/>
    <mergeCell ref="M19:N19"/>
    <mergeCell ref="M20:N20"/>
    <mergeCell ref="O20:P20"/>
    <mergeCell ref="O19:P19"/>
    <mergeCell ref="K23:M23"/>
    <mergeCell ref="N23:P23"/>
    <mergeCell ref="B22:R22"/>
    <mergeCell ref="B23:C24"/>
    <mergeCell ref="D23:D24"/>
    <mergeCell ref="R23:R24"/>
    <mergeCell ref="Q23:Q24"/>
    <mergeCell ref="G20:H20"/>
    <mergeCell ref="K19:L19"/>
    <mergeCell ref="E23:G23"/>
    <mergeCell ref="K20:L20"/>
    <mergeCell ref="D10:F10"/>
    <mergeCell ref="I10:J10"/>
    <mergeCell ref="K10:L10"/>
    <mergeCell ref="M10:N10"/>
    <mergeCell ref="B7:F7"/>
    <mergeCell ref="D8:F8"/>
    <mergeCell ref="D9:F9"/>
    <mergeCell ref="I9:J9"/>
    <mergeCell ref="I8:J8"/>
    <mergeCell ref="I7:P7"/>
    <mergeCell ref="M8:N8"/>
    <mergeCell ref="O9:P9"/>
    <mergeCell ref="O8:P8"/>
    <mergeCell ref="K8:L8"/>
    <mergeCell ref="M9:N9"/>
    <mergeCell ref="K9:L9"/>
    <mergeCell ref="O10:P10"/>
    <mergeCell ref="O13:Q13"/>
    <mergeCell ref="I13:J13"/>
    <mergeCell ref="G13:H13"/>
    <mergeCell ref="E13:F13"/>
    <mergeCell ref="G15:H15"/>
    <mergeCell ref="E15:F15"/>
    <mergeCell ref="E14:F14"/>
    <mergeCell ref="B12:L12"/>
    <mergeCell ref="K13:L13"/>
    <mergeCell ref="K15:L15"/>
  </mergeCells>
  <conditionalFormatting sqref="D9">
    <cfRule type="expression" dxfId="187" priority="166">
      <formula>$C$9=0</formula>
    </cfRule>
    <cfRule type="expression" dxfId="186" priority="167">
      <formula>AND($C$9&lt;=$B$9/6, $C$9&lt;&gt;0)</formula>
    </cfRule>
    <cfRule type="expression" dxfId="185" priority="168">
      <formula>AND($C$9&gt;$B$9/6,$C$9&lt;=$B$9/3)</formula>
    </cfRule>
    <cfRule type="expression" dxfId="184" priority="169">
      <formula>AND($C$9&gt;$B$9/3, $C$9&lt;=$B$9/2)</formula>
    </cfRule>
    <cfRule type="expression" dxfId="183" priority="170">
      <formula>AND($C$9&gt;$B$9/2, $C$9&lt;=2*$B$9/3)</formula>
    </cfRule>
  </conditionalFormatting>
  <conditionalFormatting sqref="E25:G25">
    <cfRule type="expression" dxfId="182" priority="163">
      <formula>$G$25&lt;&gt;"N/A"</formula>
    </cfRule>
  </conditionalFormatting>
  <conditionalFormatting sqref="E26:G26">
    <cfRule type="expression" dxfId="181" priority="162">
      <formula>$G$26&lt;&gt;"N/A"</formula>
    </cfRule>
  </conditionalFormatting>
  <conditionalFormatting sqref="E29:G29">
    <cfRule type="expression" dxfId="180" priority="161">
      <formula>$G$29&lt;&gt;"N/A"</formula>
    </cfRule>
  </conditionalFormatting>
  <conditionalFormatting sqref="E30:G30">
    <cfRule type="expression" dxfId="179" priority="160">
      <formula>$G$30&lt;&gt;"N/A"</formula>
    </cfRule>
  </conditionalFormatting>
  <conditionalFormatting sqref="E27">
    <cfRule type="expression" dxfId="178" priority="159">
      <formula>$E$27&lt;&gt;0</formula>
    </cfRule>
  </conditionalFormatting>
  <conditionalFormatting sqref="E28">
    <cfRule type="expression" dxfId="177" priority="158">
      <formula>$E$28&lt;&gt;0</formula>
    </cfRule>
  </conditionalFormatting>
  <conditionalFormatting sqref="E31:G31">
    <cfRule type="expression" dxfId="176" priority="157">
      <formula>$G$31&lt;&gt;"N/A"</formula>
    </cfRule>
  </conditionalFormatting>
  <conditionalFormatting sqref="H26:J26">
    <cfRule type="expression" dxfId="175" priority="156">
      <formula>$J$26&lt;&gt;"N/A"</formula>
    </cfRule>
  </conditionalFormatting>
  <conditionalFormatting sqref="H29:J29">
    <cfRule type="expression" dxfId="174" priority="154">
      <formula>$J$29&lt;&gt;"N/A"</formula>
    </cfRule>
  </conditionalFormatting>
  <conditionalFormatting sqref="K27:M27">
    <cfRule type="expression" dxfId="173" priority="153">
      <formula>$M$27&lt;&gt;"N/A"</formula>
    </cfRule>
  </conditionalFormatting>
  <conditionalFormatting sqref="N27:P27">
    <cfRule type="expression" dxfId="172" priority="152">
      <formula>$P$27&lt;&gt;"N/A"</formula>
    </cfRule>
  </conditionalFormatting>
  <conditionalFormatting sqref="N28:P28">
    <cfRule type="expression" dxfId="171" priority="151">
      <formula>$P$28&lt;&gt;"N/A"</formula>
    </cfRule>
  </conditionalFormatting>
  <conditionalFormatting sqref="E33">
    <cfRule type="expression" dxfId="170" priority="150">
      <formula>$E33&lt;&gt;0</formula>
    </cfRule>
  </conditionalFormatting>
  <conditionalFormatting sqref="E34">
    <cfRule type="expression" dxfId="169" priority="149">
      <formula>$E34&lt;&gt;0</formula>
    </cfRule>
  </conditionalFormatting>
  <conditionalFormatting sqref="E35">
    <cfRule type="expression" dxfId="168" priority="148">
      <formula>$E35&lt;&gt;0</formula>
    </cfRule>
  </conditionalFormatting>
  <conditionalFormatting sqref="E36">
    <cfRule type="expression" dxfId="167" priority="147">
      <formula>$E36&lt;&gt;0</formula>
    </cfRule>
  </conditionalFormatting>
  <conditionalFormatting sqref="E37">
    <cfRule type="expression" dxfId="166" priority="146">
      <formula>$E37&lt;&gt;0</formula>
    </cfRule>
  </conditionalFormatting>
  <conditionalFormatting sqref="E38">
    <cfRule type="expression" dxfId="165" priority="145">
      <formula>$E38&lt;&gt;0</formula>
    </cfRule>
  </conditionalFormatting>
  <conditionalFormatting sqref="E39">
    <cfRule type="expression" dxfId="164" priority="144">
      <formula>$E39&lt;&gt;0</formula>
    </cfRule>
  </conditionalFormatting>
  <conditionalFormatting sqref="E40">
    <cfRule type="expression" dxfId="163" priority="143">
      <formula>$E40&lt;&gt;0</formula>
    </cfRule>
  </conditionalFormatting>
  <conditionalFormatting sqref="E41">
    <cfRule type="expression" dxfId="162" priority="142">
      <formula>$E41&lt;&gt;0</formula>
    </cfRule>
  </conditionalFormatting>
  <conditionalFormatting sqref="E42">
    <cfRule type="expression" dxfId="161" priority="141">
      <formula>$E42&lt;&gt;0</formula>
    </cfRule>
  </conditionalFormatting>
  <conditionalFormatting sqref="E33:G33">
    <cfRule type="expression" dxfId="160" priority="140">
      <formula>$G33&lt;&gt;"N/A"</formula>
    </cfRule>
  </conditionalFormatting>
  <conditionalFormatting sqref="E34:G34">
    <cfRule type="expression" dxfId="159" priority="139">
      <formula>$G34&lt;&gt;"N/A"</formula>
    </cfRule>
  </conditionalFormatting>
  <conditionalFormatting sqref="E35:G35">
    <cfRule type="expression" dxfId="158" priority="138">
      <formula>$G35&lt;&gt;"N/A"</formula>
    </cfRule>
  </conditionalFormatting>
  <conditionalFormatting sqref="E36:G36">
    <cfRule type="expression" dxfId="157" priority="137">
      <formula>$G36&lt;&gt;"N/A"</formula>
    </cfRule>
  </conditionalFormatting>
  <conditionalFormatting sqref="E37:G37">
    <cfRule type="expression" dxfId="156" priority="136">
      <formula>$G37&lt;&gt;"N/A"</formula>
    </cfRule>
  </conditionalFormatting>
  <conditionalFormatting sqref="E38:G38">
    <cfRule type="expression" dxfId="155" priority="135">
      <formula>$G38&lt;&gt;"N/A"</formula>
    </cfRule>
  </conditionalFormatting>
  <conditionalFormatting sqref="E39:G39">
    <cfRule type="expression" dxfId="154" priority="134">
      <formula>$G39&lt;&gt;"N/A"</formula>
    </cfRule>
  </conditionalFormatting>
  <conditionalFormatting sqref="E40:G40">
    <cfRule type="expression" dxfId="153" priority="133">
      <formula>$G40&lt;&gt;"N/A"</formula>
    </cfRule>
  </conditionalFormatting>
  <conditionalFormatting sqref="E41:G41">
    <cfRule type="expression" dxfId="152" priority="132">
      <formula>$G41&lt;&gt;"N/A"</formula>
    </cfRule>
  </conditionalFormatting>
  <conditionalFormatting sqref="E42:G42">
    <cfRule type="expression" dxfId="151" priority="131">
      <formula>$G42&lt;&gt;"N/A"</formula>
    </cfRule>
  </conditionalFormatting>
  <conditionalFormatting sqref="H33">
    <cfRule type="expression" dxfId="150" priority="130">
      <formula>$H33&lt;&gt;0</formula>
    </cfRule>
  </conditionalFormatting>
  <conditionalFormatting sqref="H34">
    <cfRule type="expression" dxfId="149" priority="129">
      <formula>$H34&lt;&gt;0</formula>
    </cfRule>
  </conditionalFormatting>
  <conditionalFormatting sqref="H35">
    <cfRule type="expression" dxfId="148" priority="128">
      <formula>$H35&lt;&gt;0</formula>
    </cfRule>
  </conditionalFormatting>
  <conditionalFormatting sqref="H36">
    <cfRule type="expression" dxfId="147" priority="127">
      <formula>$H36&lt;&gt;0</formula>
    </cfRule>
  </conditionalFormatting>
  <conditionalFormatting sqref="H37">
    <cfRule type="expression" dxfId="146" priority="126">
      <formula>$H37&lt;&gt;0</formula>
    </cfRule>
  </conditionalFormatting>
  <conditionalFormatting sqref="H38">
    <cfRule type="expression" dxfId="145" priority="125">
      <formula>$H38&lt;&gt;0</formula>
    </cfRule>
  </conditionalFormatting>
  <conditionalFormatting sqref="H39">
    <cfRule type="expression" dxfId="144" priority="124">
      <formula>$H39&lt;&gt;0</formula>
    </cfRule>
  </conditionalFormatting>
  <conditionalFormatting sqref="H40">
    <cfRule type="expression" dxfId="143" priority="123">
      <formula>$H40&lt;&gt;0</formula>
    </cfRule>
  </conditionalFormatting>
  <conditionalFormatting sqref="H41">
    <cfRule type="expression" dxfId="142" priority="122">
      <formula>$H41&lt;&gt;0</formula>
    </cfRule>
  </conditionalFormatting>
  <conditionalFormatting sqref="H42">
    <cfRule type="expression" dxfId="141" priority="121">
      <formula>$H42&lt;&gt;0</formula>
    </cfRule>
  </conditionalFormatting>
  <conditionalFormatting sqref="H33:J33">
    <cfRule type="expression" dxfId="140" priority="120">
      <formula>$J33&lt;&gt;"N/A"</formula>
    </cfRule>
  </conditionalFormatting>
  <conditionalFormatting sqref="H34:J34">
    <cfRule type="expression" dxfId="139" priority="119">
      <formula>$J34&lt;&gt;"N/A"</formula>
    </cfRule>
  </conditionalFormatting>
  <conditionalFormatting sqref="H35:J35">
    <cfRule type="expression" dxfId="138" priority="118">
      <formula>$J35&lt;&gt;"N/A"</formula>
    </cfRule>
  </conditionalFormatting>
  <conditionalFormatting sqref="H36:J36">
    <cfRule type="expression" dxfId="137" priority="117">
      <formula>$J36&lt;&gt;"N/A"</formula>
    </cfRule>
  </conditionalFormatting>
  <conditionalFormatting sqref="H37:J37">
    <cfRule type="expression" dxfId="136" priority="116">
      <formula>$J37&lt;&gt;"N/A"</formula>
    </cfRule>
  </conditionalFormatting>
  <conditionalFormatting sqref="H42:J42">
    <cfRule type="expression" dxfId="135" priority="115">
      <formula>$J42&lt;&gt;"N/A"</formula>
    </cfRule>
  </conditionalFormatting>
  <conditionalFormatting sqref="H41:J41">
    <cfRule type="expression" dxfId="134" priority="114">
      <formula>$J41&lt;&gt;"N/A"</formula>
    </cfRule>
  </conditionalFormatting>
  <conditionalFormatting sqref="H40:J40">
    <cfRule type="expression" dxfId="133" priority="113">
      <formula>$J40&lt;&gt;"N/A"</formula>
    </cfRule>
  </conditionalFormatting>
  <conditionalFormatting sqref="H39:J39">
    <cfRule type="expression" dxfId="132" priority="112">
      <formula>$J39&lt;&gt;"N/A"</formula>
    </cfRule>
  </conditionalFormatting>
  <conditionalFormatting sqref="H38:J38">
    <cfRule type="expression" dxfId="131" priority="111">
      <formula>$J38&lt;&gt;"N/A"</formula>
    </cfRule>
  </conditionalFormatting>
  <conditionalFormatting sqref="I37:J37">
    <cfRule type="expression" dxfId="130" priority="110">
      <formula>$J37&lt;&gt;"N/A"</formula>
    </cfRule>
  </conditionalFormatting>
  <conditionalFormatting sqref="K33">
    <cfRule type="expression" dxfId="129" priority="109">
      <formula>$K33&lt;&gt;0</formula>
    </cfRule>
  </conditionalFormatting>
  <conditionalFormatting sqref="K33:M33">
    <cfRule type="expression" dxfId="128" priority="108">
      <formula>$M33&lt;&gt;"N/A"</formula>
    </cfRule>
  </conditionalFormatting>
  <conditionalFormatting sqref="N33">
    <cfRule type="expression" dxfId="127" priority="107">
      <formula>$N33&lt;&gt;0</formula>
    </cfRule>
  </conditionalFormatting>
  <conditionalFormatting sqref="N33:P33">
    <cfRule type="expression" dxfId="126" priority="106">
      <formula>$P33&lt;&gt;"N/A"</formula>
    </cfRule>
  </conditionalFormatting>
  <conditionalFormatting sqref="K34">
    <cfRule type="expression" dxfId="125" priority="105">
      <formula>$K34&lt;&gt;0</formula>
    </cfRule>
  </conditionalFormatting>
  <conditionalFormatting sqref="K34:M34">
    <cfRule type="expression" dxfId="124" priority="104">
      <formula>$M34&lt;&gt;"N/A"</formula>
    </cfRule>
  </conditionalFormatting>
  <conditionalFormatting sqref="K35">
    <cfRule type="expression" dxfId="123" priority="103">
      <formula>$K35&lt;&gt;0</formula>
    </cfRule>
  </conditionalFormatting>
  <conditionalFormatting sqref="K35:M35">
    <cfRule type="expression" dxfId="122" priority="102">
      <formula>$M35&lt;&gt;"N/A"</formula>
    </cfRule>
  </conditionalFormatting>
  <conditionalFormatting sqref="K36">
    <cfRule type="expression" dxfId="121" priority="101">
      <formula>$K36&lt;&gt;0</formula>
    </cfRule>
  </conditionalFormatting>
  <conditionalFormatting sqref="K36:M36">
    <cfRule type="expression" dxfId="120" priority="100">
      <formula>$M36&lt;&gt;"N/A"</formula>
    </cfRule>
  </conditionalFormatting>
  <conditionalFormatting sqref="K37">
    <cfRule type="expression" dxfId="119" priority="99">
      <formula>$K37&lt;&gt;0</formula>
    </cfRule>
  </conditionalFormatting>
  <conditionalFormatting sqref="K37:M37">
    <cfRule type="expression" dxfId="118" priority="98">
      <formula>$M37&lt;&gt;"N/A"</formula>
    </cfRule>
  </conditionalFormatting>
  <conditionalFormatting sqref="K38">
    <cfRule type="expression" dxfId="117" priority="97">
      <formula>$K38&lt;&gt;0</formula>
    </cfRule>
  </conditionalFormatting>
  <conditionalFormatting sqref="K38:M38">
    <cfRule type="expression" dxfId="116" priority="96">
      <formula>$M38&lt;&gt;"N/A"</formula>
    </cfRule>
  </conditionalFormatting>
  <conditionalFormatting sqref="K39">
    <cfRule type="expression" dxfId="115" priority="95">
      <formula>$K39&lt;&gt;0</formula>
    </cfRule>
  </conditionalFormatting>
  <conditionalFormatting sqref="K39:M39">
    <cfRule type="expression" dxfId="114" priority="94">
      <formula>$M39&lt;&gt;"N/A"</formula>
    </cfRule>
  </conditionalFormatting>
  <conditionalFormatting sqref="K40">
    <cfRule type="expression" dxfId="113" priority="93">
      <formula>$K40&lt;&gt;0</formula>
    </cfRule>
  </conditionalFormatting>
  <conditionalFormatting sqref="K40:M40">
    <cfRule type="expression" dxfId="112" priority="92">
      <formula>$M40&lt;&gt;"N/A"</formula>
    </cfRule>
  </conditionalFormatting>
  <conditionalFormatting sqref="K41">
    <cfRule type="expression" dxfId="111" priority="91">
      <formula>$K41&lt;&gt;0</formula>
    </cfRule>
  </conditionalFormatting>
  <conditionalFormatting sqref="K41:M41">
    <cfRule type="expression" dxfId="110" priority="90">
      <formula>$M41&lt;&gt;"N/A"</formula>
    </cfRule>
  </conditionalFormatting>
  <conditionalFormatting sqref="K42">
    <cfRule type="expression" dxfId="109" priority="89">
      <formula>$K42&lt;&gt;0</formula>
    </cfRule>
  </conditionalFormatting>
  <conditionalFormatting sqref="K42:M42">
    <cfRule type="expression" dxfId="108" priority="88">
      <formula>$M42&lt;&gt;"N/A"</formula>
    </cfRule>
  </conditionalFormatting>
  <conditionalFormatting sqref="N34">
    <cfRule type="expression" dxfId="107" priority="87">
      <formula>$N34&lt;&gt;0</formula>
    </cfRule>
  </conditionalFormatting>
  <conditionalFormatting sqref="N34:P34">
    <cfRule type="expression" dxfId="106" priority="86">
      <formula>$P34&lt;&gt;"N/A"</formula>
    </cfRule>
  </conditionalFormatting>
  <conditionalFormatting sqref="N35">
    <cfRule type="expression" dxfId="105" priority="85">
      <formula>$N35&lt;&gt;0</formula>
    </cfRule>
  </conditionalFormatting>
  <conditionalFormatting sqref="N35:P35">
    <cfRule type="expression" dxfId="104" priority="84">
      <formula>$P35&lt;&gt;"N/A"</formula>
    </cfRule>
  </conditionalFormatting>
  <conditionalFormatting sqref="N36">
    <cfRule type="expression" dxfId="103" priority="83">
      <formula>$N36&lt;&gt;0</formula>
    </cfRule>
  </conditionalFormatting>
  <conditionalFormatting sqref="N36:P36">
    <cfRule type="expression" dxfId="102" priority="82">
      <formula>$P36&lt;&gt;"N/A"</formula>
    </cfRule>
  </conditionalFormatting>
  <conditionalFormatting sqref="N37">
    <cfRule type="expression" dxfId="101" priority="81">
      <formula>$N37&lt;&gt;0</formula>
    </cfRule>
  </conditionalFormatting>
  <conditionalFormatting sqref="N37:P37">
    <cfRule type="expression" dxfId="100" priority="80">
      <formula>$P37&lt;&gt;"N/A"</formula>
    </cfRule>
  </conditionalFormatting>
  <conditionalFormatting sqref="N38">
    <cfRule type="expression" dxfId="99" priority="79">
      <formula>$N38&lt;&gt;0</formula>
    </cfRule>
  </conditionalFormatting>
  <conditionalFormatting sqref="N38:P38">
    <cfRule type="expression" dxfId="98" priority="78">
      <formula>$P38&lt;&gt;"N/A"</formula>
    </cfRule>
  </conditionalFormatting>
  <conditionalFormatting sqref="N39">
    <cfRule type="expression" dxfId="97" priority="77">
      <formula>$N39&lt;&gt;0</formula>
    </cfRule>
  </conditionalFormatting>
  <conditionalFormatting sqref="N39:P39">
    <cfRule type="expression" dxfId="96" priority="76">
      <formula>$P39&lt;&gt;"N/A"</formula>
    </cfRule>
  </conditionalFormatting>
  <conditionalFormatting sqref="N40">
    <cfRule type="expression" dxfId="95" priority="75">
      <formula>$N40&lt;&gt;0</formula>
    </cfRule>
  </conditionalFormatting>
  <conditionalFormatting sqref="N40:P40">
    <cfRule type="expression" dxfId="94" priority="74">
      <formula>$P40&lt;&gt;"N/A"</formula>
    </cfRule>
  </conditionalFormatting>
  <conditionalFormatting sqref="N41">
    <cfRule type="expression" dxfId="93" priority="73">
      <formula>$N41&lt;&gt;0</formula>
    </cfRule>
  </conditionalFormatting>
  <conditionalFormatting sqref="N41:P41">
    <cfRule type="expression" dxfId="92" priority="72">
      <formula>$P41&lt;&gt;"N/A"</formula>
    </cfRule>
  </conditionalFormatting>
  <conditionalFormatting sqref="N42">
    <cfRule type="expression" dxfId="91" priority="71">
      <formula>$N42&lt;&gt;0</formula>
    </cfRule>
  </conditionalFormatting>
  <conditionalFormatting sqref="N42:P42">
    <cfRule type="expression" dxfId="90" priority="70">
      <formula>$P42&lt;&gt;"N/A"</formula>
    </cfRule>
  </conditionalFormatting>
  <conditionalFormatting sqref="E44">
    <cfRule type="expression" dxfId="89" priority="69">
      <formula>$E44&lt;&gt;0</formula>
    </cfRule>
  </conditionalFormatting>
  <conditionalFormatting sqref="E45">
    <cfRule type="expression" dxfId="88" priority="68">
      <formula>$E45&lt;&gt;0</formula>
    </cfRule>
  </conditionalFormatting>
  <conditionalFormatting sqref="E46">
    <cfRule type="expression" dxfId="87" priority="67">
      <formula>$E46&lt;&gt;0</formula>
    </cfRule>
  </conditionalFormatting>
  <conditionalFormatting sqref="E47">
    <cfRule type="expression" dxfId="86" priority="66">
      <formula>$E47&lt;&gt;0</formula>
    </cfRule>
  </conditionalFormatting>
  <conditionalFormatting sqref="E48">
    <cfRule type="expression" dxfId="85" priority="65">
      <formula>$E48&lt;&gt;0</formula>
    </cfRule>
  </conditionalFormatting>
  <conditionalFormatting sqref="E49">
    <cfRule type="expression" dxfId="84" priority="64">
      <formula>$E49&lt;&gt;0</formula>
    </cfRule>
  </conditionalFormatting>
  <conditionalFormatting sqref="E50">
    <cfRule type="expression" dxfId="83" priority="63">
      <formula>$E50&lt;&gt;0</formula>
    </cfRule>
  </conditionalFormatting>
  <conditionalFormatting sqref="E51">
    <cfRule type="expression" dxfId="82" priority="62">
      <formula>$E51&lt;&gt;0</formula>
    </cfRule>
  </conditionalFormatting>
  <conditionalFormatting sqref="E52">
    <cfRule type="expression" dxfId="81" priority="61">
      <formula>$E52&lt;&gt;0</formula>
    </cfRule>
  </conditionalFormatting>
  <conditionalFormatting sqref="E53">
    <cfRule type="expression" dxfId="80" priority="60">
      <formula>$E53&lt;&gt;0</formula>
    </cfRule>
  </conditionalFormatting>
  <conditionalFormatting sqref="H44">
    <cfRule type="expression" dxfId="79" priority="59">
      <formula>$H44&lt;&gt;0</formula>
    </cfRule>
  </conditionalFormatting>
  <conditionalFormatting sqref="K44">
    <cfRule type="expression" dxfId="78" priority="58">
      <formula>$K44&lt;&gt;0</formula>
    </cfRule>
  </conditionalFormatting>
  <conditionalFormatting sqref="H45">
    <cfRule type="expression" dxfId="77" priority="56">
      <formula>$H45&lt;&gt;0</formula>
    </cfRule>
  </conditionalFormatting>
  <conditionalFormatting sqref="H45">
    <cfRule type="expression" dxfId="76" priority="53">
      <formula>$H45&lt;&gt;0</formula>
    </cfRule>
  </conditionalFormatting>
  <conditionalFormatting sqref="H46">
    <cfRule type="expression" dxfId="75" priority="52">
      <formula>$H46&lt;&gt;0</formula>
    </cfRule>
  </conditionalFormatting>
  <conditionalFormatting sqref="H47">
    <cfRule type="expression" dxfId="74" priority="51">
      <formula>$H47&lt;&gt;0</formula>
    </cfRule>
  </conditionalFormatting>
  <conditionalFormatting sqref="H48">
    <cfRule type="expression" dxfId="73" priority="50">
      <formula>$H48&lt;&gt;0</formula>
    </cfRule>
  </conditionalFormatting>
  <conditionalFormatting sqref="H49">
    <cfRule type="expression" dxfId="72" priority="49">
      <formula>$H49&lt;&gt;0</formula>
    </cfRule>
  </conditionalFormatting>
  <conditionalFormatting sqref="H50">
    <cfRule type="expression" dxfId="71" priority="48">
      <formula>$H50&lt;&gt;0</formula>
    </cfRule>
  </conditionalFormatting>
  <conditionalFormatting sqref="H51">
    <cfRule type="expression" dxfId="70" priority="47">
      <formula>$H51&lt;&gt;0</formula>
    </cfRule>
  </conditionalFormatting>
  <conditionalFormatting sqref="H52">
    <cfRule type="expression" dxfId="69" priority="46">
      <formula>$H52&lt;&gt;0</formula>
    </cfRule>
  </conditionalFormatting>
  <conditionalFormatting sqref="H53">
    <cfRule type="expression" dxfId="68" priority="45">
      <formula>$H53&lt;&gt;0</formula>
    </cfRule>
  </conditionalFormatting>
  <conditionalFormatting sqref="K44:M44">
    <cfRule type="expression" dxfId="67" priority="44">
      <formula>$M44&lt;&gt;"N/A"</formula>
    </cfRule>
  </conditionalFormatting>
  <conditionalFormatting sqref="K45:M45">
    <cfRule type="expression" dxfId="66" priority="43">
      <formula>$M45&lt;&gt;"N/A"</formula>
    </cfRule>
  </conditionalFormatting>
  <conditionalFormatting sqref="K46:M46">
    <cfRule type="expression" dxfId="65" priority="42">
      <formula>$M46&lt;&gt;"N/A"</formula>
    </cfRule>
  </conditionalFormatting>
  <conditionalFormatting sqref="K47:M47">
    <cfRule type="expression" dxfId="64" priority="41">
      <formula>$M47&lt;&gt;"N/A"</formula>
    </cfRule>
  </conditionalFormatting>
  <conditionalFormatting sqref="K48:M48">
    <cfRule type="expression" dxfId="63" priority="40">
      <formula>$M48&lt;&gt;"N/A"</formula>
    </cfRule>
  </conditionalFormatting>
  <conditionalFormatting sqref="K49:M49">
    <cfRule type="expression" dxfId="62" priority="39">
      <formula>$M49&lt;&gt;"N/A"</formula>
    </cfRule>
  </conditionalFormatting>
  <conditionalFormatting sqref="K50:M50">
    <cfRule type="expression" dxfId="61" priority="38">
      <formula>$M50&lt;&gt;"N/A"</formula>
    </cfRule>
  </conditionalFormatting>
  <conditionalFormatting sqref="K51:M51">
    <cfRule type="expression" dxfId="60" priority="37">
      <formula>$M51&lt;&gt;"N/A"</formula>
    </cfRule>
  </conditionalFormatting>
  <conditionalFormatting sqref="K52:M52">
    <cfRule type="expression" dxfId="59" priority="36">
      <formula>$M52&lt;&gt;"N/A"</formula>
    </cfRule>
  </conditionalFormatting>
  <conditionalFormatting sqref="K53:M53">
    <cfRule type="expression" dxfId="58" priority="35">
      <formula>$M53&lt;&gt;"N/A"</formula>
    </cfRule>
  </conditionalFormatting>
  <conditionalFormatting sqref="N44">
    <cfRule type="expression" dxfId="57" priority="34">
      <formula>$N44&lt;&gt;0</formula>
    </cfRule>
  </conditionalFormatting>
  <conditionalFormatting sqref="N45">
    <cfRule type="expression" dxfId="56" priority="33">
      <formula>$N45&lt;&gt;0</formula>
    </cfRule>
  </conditionalFormatting>
  <conditionalFormatting sqref="N46">
    <cfRule type="expression" dxfId="55" priority="32">
      <formula>$N46&lt;&gt;0</formula>
    </cfRule>
  </conditionalFormatting>
  <conditionalFormatting sqref="N47">
    <cfRule type="expression" dxfId="54" priority="31">
      <formula>$N47&lt;&gt;0</formula>
    </cfRule>
  </conditionalFormatting>
  <conditionalFormatting sqref="N48">
    <cfRule type="expression" dxfId="53" priority="30">
      <formula>$N48&lt;&gt;0</formula>
    </cfRule>
  </conditionalFormatting>
  <conditionalFormatting sqref="N49">
    <cfRule type="expression" dxfId="52" priority="29">
      <formula>$N49&lt;&gt;0</formula>
    </cfRule>
  </conditionalFormatting>
  <conditionalFormatting sqref="N50">
    <cfRule type="expression" dxfId="51" priority="28">
      <formula>$N50&lt;&gt;0</formula>
    </cfRule>
  </conditionalFormatting>
  <conditionalFormatting sqref="N51">
    <cfRule type="expression" dxfId="50" priority="27">
      <formula>$N51&lt;&gt;0</formula>
    </cfRule>
  </conditionalFormatting>
  <conditionalFormatting sqref="N52">
    <cfRule type="expression" dxfId="49" priority="26">
      <formula>$N52&lt;&gt;0</formula>
    </cfRule>
  </conditionalFormatting>
  <conditionalFormatting sqref="N53">
    <cfRule type="expression" dxfId="48" priority="25">
      <formula>$N53&lt;&gt;0</formula>
    </cfRule>
  </conditionalFormatting>
  <conditionalFormatting sqref="M50">
    <cfRule type="expression" dxfId="47" priority="24">
      <formula>$M50&lt;&gt;"N/A"</formula>
    </cfRule>
  </conditionalFormatting>
  <conditionalFormatting sqref="M49">
    <cfRule type="expression" dxfId="46" priority="23">
      <formula>$M49&lt;&gt;"N/A"</formula>
    </cfRule>
  </conditionalFormatting>
  <conditionalFormatting sqref="M48">
    <cfRule type="expression" dxfId="45" priority="22">
      <formula>$M48&lt;&gt;"N/A"</formula>
    </cfRule>
  </conditionalFormatting>
  <conditionalFormatting sqref="M50">
    <cfRule type="expression" dxfId="44" priority="21">
      <formula>$M50&lt;&gt;"N/A"</formula>
    </cfRule>
  </conditionalFormatting>
  <conditionalFormatting sqref="M49">
    <cfRule type="expression" dxfId="43" priority="20">
      <formula>$M49&lt;&gt;"N/A"</formula>
    </cfRule>
  </conditionalFormatting>
  <conditionalFormatting sqref="M48">
    <cfRule type="expression" dxfId="42" priority="19">
      <formula>$M48&lt;&gt;"N/A"</formula>
    </cfRule>
  </conditionalFormatting>
  <conditionalFormatting sqref="M47">
    <cfRule type="expression" dxfId="41" priority="18">
      <formula>$M47&lt;&gt;"N/A"</formula>
    </cfRule>
  </conditionalFormatting>
  <conditionalFormatting sqref="M46">
    <cfRule type="expression" dxfId="40" priority="17">
      <formula>$M46&lt;&gt;"N/A"</formula>
    </cfRule>
  </conditionalFormatting>
  <conditionalFormatting sqref="M45">
    <cfRule type="expression" dxfId="39" priority="16">
      <formula>$M45&lt;&gt;"N/A"</formula>
    </cfRule>
  </conditionalFormatting>
  <conditionalFormatting sqref="M44">
    <cfRule type="expression" dxfId="38" priority="15">
      <formula>$M44&lt;&gt;"N/A"</formula>
    </cfRule>
  </conditionalFormatting>
  <conditionalFormatting sqref="M52">
    <cfRule type="expression" dxfId="37" priority="14">
      <formula>$M52&lt;&gt;"N/A"</formula>
    </cfRule>
  </conditionalFormatting>
  <conditionalFormatting sqref="M53">
    <cfRule type="expression" dxfId="36" priority="13">
      <formula>$M53&lt;&gt;"N/A"</formula>
    </cfRule>
  </conditionalFormatting>
  <conditionalFormatting sqref="S23:S24">
    <cfRule type="expression" dxfId="35" priority="8">
      <formula>OR($C$26,$C$29,$C$31)</formula>
    </cfRule>
    <cfRule type="expression" dxfId="34" priority="12">
      <formula>NOT(OR($C$26,$C$29,$C$31))</formula>
    </cfRule>
  </conditionalFormatting>
  <conditionalFormatting sqref="S26">
    <cfRule type="expression" dxfId="33" priority="4">
      <formula>$C$26</formula>
    </cfRule>
    <cfRule type="expression" dxfId="32" priority="11">
      <formula>NOT($C$26)</formula>
    </cfRule>
  </conditionalFormatting>
  <conditionalFormatting sqref="S29">
    <cfRule type="expression" dxfId="31" priority="3">
      <formula>$C$29</formula>
    </cfRule>
    <cfRule type="expression" dxfId="30" priority="10">
      <formula>NOT($C$29)</formula>
    </cfRule>
  </conditionalFormatting>
  <conditionalFormatting sqref="S31">
    <cfRule type="expression" dxfId="29" priority="2">
      <formula>$C$31</formula>
    </cfRule>
    <cfRule type="expression" dxfId="28" priority="6">
      <formula>OR($C$26,$C$29,$C$31)</formula>
    </cfRule>
    <cfRule type="expression" dxfId="27" priority="9">
      <formula>NOT($C$31)</formula>
    </cfRule>
  </conditionalFormatting>
  <conditionalFormatting sqref="S25:S31">
    <cfRule type="expression" dxfId="26" priority="7">
      <formula>OR($C$26,$C$29,$C$31)</formula>
    </cfRule>
  </conditionalFormatting>
  <conditionalFormatting sqref="K58:P58">
    <cfRule type="expression" dxfId="25" priority="1">
      <formula>$K$57&gt;$AD$1</formula>
    </cfRule>
  </conditionalFormatting>
  <dataValidations count="10">
    <dataValidation type="list" allowBlank="1" showInputMessage="1" showErrorMessage="1" sqref="B58">
      <formula1>$AF$11:$AF$21</formula1>
    </dataValidation>
    <dataValidation type="list" errorStyle="warning" showInputMessage="1" showErrorMessage="1" sqref="K9:K10">
      <formula1>$AF$11:$AF$16</formula1>
    </dataValidation>
    <dataValidation errorStyle="warning" allowBlank="1" showInputMessage="1" showErrorMessage="1" sqref="I9"/>
    <dataValidation type="list" allowBlank="1" showInputMessage="1" showErrorMessage="1" sqref="C25:C31">
      <formula1>$AE$1:$AE$2</formula1>
    </dataValidation>
    <dataValidation type="list" allowBlank="1" showInputMessage="1" showErrorMessage="1" sqref="B33:D42">
      <formula1>$AD$7:$AD$26</formula1>
    </dataValidation>
    <dataValidation type="list" allowBlank="1" showInputMessage="1" showErrorMessage="1" sqref="B45:D53">
      <formula1>Weapons!$AB$1:$AB$97</formula1>
    </dataValidation>
    <dataValidation type="list" allowBlank="1" showInputMessage="1" showErrorMessage="1" sqref="S26">
      <formula1>$AD$29:$AD$31</formula1>
    </dataValidation>
    <dataValidation type="list" allowBlank="1" showInputMessage="1" showErrorMessage="1" sqref="S29">
      <formula1>$AD$32:$AD$34</formula1>
    </dataValidation>
    <dataValidation type="list" allowBlank="1" showInputMessage="1" showErrorMessage="1" sqref="S31">
      <formula1>$AD$35:$AD$37</formula1>
    </dataValidation>
    <dataValidation type="list" allowBlank="1" showInputMessage="1" showErrorMessage="1" sqref="B44:D44">
      <formula1>Weapons!$AB$1:$AB$97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B1:KZ500"/>
  <sheetViews>
    <sheetView workbookViewId="0"/>
  </sheetViews>
  <sheetFormatPr defaultRowHeight="15"/>
  <cols>
    <col min="2" max="2" width="30.28515625" customWidth="1"/>
    <col min="3" max="10" width="10.7109375" customWidth="1"/>
    <col min="11" max="11" width="9.140625" customWidth="1"/>
    <col min="26" max="26" width="9.140625" customWidth="1"/>
    <col min="27" max="27" width="9.140625" hidden="1" customWidth="1"/>
    <col min="28" max="73" width="9.140625" customWidth="1"/>
  </cols>
  <sheetData>
    <row r="1" spans="2:312"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</row>
    <row r="2" spans="2:312">
      <c r="B2" s="620" t="s">
        <v>398</v>
      </c>
      <c r="C2" s="621"/>
      <c r="D2" s="621"/>
      <c r="E2" s="621"/>
      <c r="F2" s="621"/>
      <c r="G2" s="621"/>
      <c r="H2" s="621"/>
      <c r="I2" s="621"/>
      <c r="J2" s="621"/>
      <c r="K2" s="101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</row>
    <row r="3" spans="2:312" ht="15" customHeight="1">
      <c r="B3" s="624" t="s">
        <v>535</v>
      </c>
      <c r="C3" s="624" t="s">
        <v>429</v>
      </c>
      <c r="D3" s="558" t="s">
        <v>371</v>
      </c>
      <c r="E3" s="560" t="s">
        <v>49</v>
      </c>
      <c r="F3" s="560" t="s">
        <v>372</v>
      </c>
      <c r="G3" s="626" t="s">
        <v>373</v>
      </c>
      <c r="H3" s="624" t="s">
        <v>775</v>
      </c>
      <c r="I3" s="560" t="s">
        <v>489</v>
      </c>
      <c r="J3" s="622" t="s">
        <v>370</v>
      </c>
      <c r="K3" s="36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</row>
    <row r="4" spans="2:312">
      <c r="B4" s="624"/>
      <c r="C4" s="624"/>
      <c r="D4" s="559"/>
      <c r="E4" s="561"/>
      <c r="F4" s="625"/>
      <c r="G4" s="626"/>
      <c r="H4" s="624"/>
      <c r="I4" s="561"/>
      <c r="J4" s="623"/>
      <c r="K4" s="36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</row>
    <row r="5" spans="2:312">
      <c r="B5" s="9"/>
      <c r="C5" s="197" t="str">
        <f>IF(B5&lt;&gt;"",VLOOKUP(B5,'Perks &amp; Skills'!B$69:D$170,2),"")</f>
        <v/>
      </c>
      <c r="D5" s="197" t="str">
        <f>IF(B5&lt;&gt;"",VLOOKUP(B5,'Perks &amp; Skills'!B$69:D$170,3),"")</f>
        <v/>
      </c>
      <c r="E5" s="296"/>
      <c r="F5" s="446" t="str">
        <f>IF(C5="","",IF(AND(IF(AND(OR(MOD(C5,2)&lt;&gt;0,AND(Character!$C$4="Člověk", MOD(E5,2)&lt;&gt;0)),IF(Character!$C$4="Člověk",INT(E5*1.5),E5)=C5),0.5,MAX(INT((C5+IF(Character!$C$4="Člověk",E5*1.5,E5))/C5)-1,0.5))&gt;1,TYPE(MATCH("Učenlivý",Character!D$11:D$15,0))&lt;&gt;16),-1,0)+IF(AND(OR(MOD(C5,2)&lt;&gt;0,AND(Character!$C$4="Člověk", MOD(E5,2)&lt;&gt;0)),IF(Character!$C$4="Člověk",INT(E5*1.5),E5)=C5),0.5,MAX(INT((C5+IF(Character!$C$4="Člověk",E5*1.5,E5))/C5)-1,0.5)))</f>
        <v/>
      </c>
      <c r="G5" s="449"/>
      <c r="H5" s="194" t="str">
        <f>IF(B5="","",IF(AND(Character!C$4="Barbar",B5="Utužování"),10,IF(AND(Character!C$4="Lesní elf",B5="Cvičení zvířat"),10,IF(AND(Character!C$4="Temný elf",B5="Plížení"),10,IF(AND(Character!C$4="Trpaslík",OR(B5="Utužování",B5="Potlačení bolesti")),20,IF(Character!C$4="Gnóm",IF(B5="Stopování",50,IF(OR(B5="Znalost zbraní",B5="Odhad ceny"),75,0)),IF(AND(Character!C$4="Hobit",OR(B5="Akrobacie",B5="Plížení",B5="Otevírání zámků",B5="Odstranění pasti")),10,IF(AND(Character!C$4="Kobold",B5="Stopování"),10,0)))))))+IF(AND(B5="Zpěv",TYPE(MATCH("Pěvec",Character!D$11:D$15,0))&lt;&gt;16),20,0)+IF(AND(OR(B5="Utužování",B5="Potlačení bolesti"),TYPE(MATCH("Tvrdá nátura",Character!D$11:D$15,0))&lt;&gt;16),20,0)+IF(AND(B5="Svádění",TYPE(MATCH("Svůdce",Character!D$11:D$15,0))&lt;&gt;16),20,0)+IF(AND(B5="Vnímavost",TYPE(MATCH("Akční hoch",Character!D$11:D$15,0))&lt;&gt;16),20,0)+IF(AND(B5="Vnímavost",TYPE(MATCH("Bystrozraký",Character!D$11:D$15,0))&lt;&gt;16),20,0)+IF(AND(B5="Plížení",TYPE(MATCH("Tichošlápek",Character!D$11:D$15,0))&lt;&gt;16),20,0)+IF(AND(OR(B5="Kradení",B5="Fixlování",B5="Kovářství",B5="Odstranění pasti",B5="Otevírání zámků",B5="Padělání",B5="Šití",B5="Tesařství a truhlářství"),TYPE(MATCH("Šikula",Character!D$11:D$15,0))&lt;&gt;16),10,0)+IF(AND(OR(B5="Zastraš nemrtvé",B5="Zastraš démony"),TYPE(MATCH("Exorcista",Character!D$11:D$15,0))&lt;&gt;16),20,0)+IF(AND(B5="Navigace",TYPE(MATCH("Světaznalý",Character!D$11:D$15,0))&lt;&gt;16),20,0)+IF(AND(OR(B5="Fixlování",B5="Kradení",B5="Převleky"),TYPE(MATCH("Herec",Character!D$11:D$15,0))&lt;&gt;16),15,0)+IF(AND(OR(B5="Přesvědčování",B5="Zastraš draky",B5="Zastraš lykantropy"),TYPE(MATCH("Řečník",Character!D$11:D$15,0))&lt;&gt;16),15,0)+IF(AND(OR(B5="Hra na hudební nástroj - strunné",B5="Hra na hudební nástroj - dechové",B5="Hra na hudební nástroj - bicí"),TYPE(MATCH("Hudebník",Character!D$11:D$15,0))&lt;&gt;16),20,0)+IF(AND(B5="Znalost rostlin",TYPE(MATCH("Botanik",Character!D$11:D$15,0))&lt;&gt;16),20,0)+IF(AND(B5="Detekce magie",TYPE(MATCH("Alergie na magii",Character!D$11:D$15,0))&lt;&gt;16),50,0)+IF(AND(OR(B5="Převleky",B5="Fixlování"),TYPE(MATCH("Podvodník",Character!D$11:D$15,0))&lt;&gt;16),30,0))</f>
        <v/>
      </c>
      <c r="I5" s="343" t="str">
        <f>IF(C5="","",IF(Stats!D$9="OK",0,IF(Stats!D$9="Mírně unavená",-5,IF(Stats!D$9="Unavená",-15,IF(Stats!D$9="Silně unavená",-30,IF(Stats!D$9="Vyčerpaná",-MAX(40,(C5+H5+E5)/2),"-----")))))+Combat!AF$13+Combat!AG$14)</f>
        <v/>
      </c>
      <c r="J5" s="372" t="str">
        <f>IF(C5="","",(C5+H5+IF(Character!C$4="Člověk",1.5*E5,E5)+I5)/IF(B5="Akrobacie",CHOOSE(MAX(Combat!AF$1:AF$5)+1,1,1,1,2,4,8),1)/IF(TYPE(MATCH("Nenávist bohů",Character!D$11:D$15,0))&lt;&gt;16,2,1)&amp;"%")</f>
        <v/>
      </c>
      <c r="K5" s="365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</row>
    <row r="6" spans="2:312">
      <c r="B6" s="9"/>
      <c r="C6" s="197" t="str">
        <f>IF(B6&lt;&gt;"",VLOOKUP(B6,'Perks &amp; Skills'!B$69:D$170,2),"")</f>
        <v/>
      </c>
      <c r="D6" s="197" t="str">
        <f>IF(B6&lt;&gt;"",VLOOKUP(B6,'Perks &amp; Skills'!B$69:D$170,3),"")</f>
        <v/>
      </c>
      <c r="E6" s="296"/>
      <c r="F6" s="450" t="str">
        <f>IF(C6="","",IF(AND(IF(AND(OR(MOD(C6,2)&lt;&gt;0,AND(Character!$C$4="Člověk", MOD(E6,2)&lt;&gt;0)),IF(Character!$C$4="Člověk",INT(E6*1.5),E6)=C6),0.5,MAX(INT((C6+IF(Character!$C$4="Člověk",E6*1.5,E6))/C6)-1,0.5))&gt;1,TYPE(MATCH("Učenlivý",Character!D$11:D$15,0))&lt;&gt;16),-1,0)+IF(AND(OR(MOD(C6,2)&lt;&gt;0,AND(Character!$C$4="Člověk", MOD(E6,2)&lt;&gt;0)),IF(Character!$C$4="Člověk",INT(E6*1.5),E6)=C6),0.5,MAX(INT((C6+IF(Character!$C$4="Člověk",E6*1.5,E6))/C6)-1,0.5)))</f>
        <v/>
      </c>
      <c r="G6" s="449"/>
      <c r="H6" s="197" t="str">
        <f>IF(B6="","",IF(AND(Character!C$4="Barbar",B6="Utužování"),10,IF(AND(Character!C$4="Lesní elf",B6="Cvičení zvířat"),10,IF(AND(Character!C$4="Temný elf",B6="Plížení"),10,IF(AND(Character!C$4="Trpaslík",OR(B6="Utužování",B6="Potlačení bolesti")),20,IF(Character!C$4="Gnóm",IF(B6="Stopování",50,IF(OR(B6="Znalost zbraní",B6="Odhad ceny"),75,0)),IF(AND(Character!C$4="Hobit",OR(B6="Akrobacie",B6="Plížení",B6="Otevírání zámků",B6="Odstranění pasti")),10,IF(AND(Character!C$4="Kobold",B6="Stopování"),10,0)))))))+IF(AND(B6="Zpěv",TYPE(MATCH("Pěvec",Character!D$11:D$15,0))&lt;&gt;16),20,0)+IF(AND(OR(B6="Utužování",B6="Potlačení bolesti"),TYPE(MATCH("Tvrdá nátura",Character!D$11:D$15,0))&lt;&gt;16),20,0)+IF(AND(B6="Svádění",TYPE(MATCH("Svůdce",Character!D$11:D$15,0))&lt;&gt;16),20,0)+IF(AND(B6="Vnímavost",TYPE(MATCH("Akční hoch",Character!D$11:D$15,0))&lt;&gt;16),20,0)+IF(AND(B6="Vnímavost",TYPE(MATCH("Bystrozraký",Character!D$11:D$15,0))&lt;&gt;16),20,0)+IF(AND(B6="Plížení",TYPE(MATCH("Tichošlápek",Character!D$11:D$15,0))&lt;&gt;16),20,0)+IF(AND(OR(B6="Kradení",B6="Fixlování",B6="Kovářství",B6="Odstranění pasti",B6="Otevírání zámků",B6="Padělání",B6="Šití",B6="Tesařství a truhlářství"),TYPE(MATCH("Šikula",Character!D$11:D$15,0))&lt;&gt;16),10,0)+IF(AND(OR(B6="Zastraš nemrtvé",B6="Zastraš démony"),TYPE(MATCH("Exorcista",Character!D$11:D$15,0))&lt;&gt;16),20,0)+IF(AND(B6="Navigace",TYPE(MATCH("Světaznalý",Character!D$11:D$15,0))&lt;&gt;16),20,0)+IF(AND(OR(B6="Fixlování",B6="Kradení",B6="Převleky"),TYPE(MATCH("Herec",Character!D$11:D$15,0))&lt;&gt;16),15,0)+IF(AND(OR(B6="Přesvědčování",B6="Zastraš draky",B6="Zastraš lykantropy"),TYPE(MATCH("Řečník",Character!D$11:D$15,0))&lt;&gt;16),15,0)+IF(AND(OR(B6="Hra na hudební nástroj - strunné",B6="Hra na hudební nástroj - dechové",B6="Hra na hudební nástroj - bicí"),TYPE(MATCH("Hudebník",Character!D$11:D$15,0))&lt;&gt;16),20,0)+IF(AND(B6="Znalost rostlin",TYPE(MATCH("Botanik",Character!D$11:D$15,0))&lt;&gt;16),20,0)+IF(AND(B6="Detekce magie",TYPE(MATCH("Alergie na magii",Character!D$11:D$15,0))&lt;&gt;16),50,0)+IF(AND(OR(B6="Převleky",B6="Fixlování"),TYPE(MATCH("Podvodník",Character!D$11:D$15,0))&lt;&gt;16),30,0))</f>
        <v/>
      </c>
      <c r="I6" s="344" t="str">
        <f>IF(C6="","",IF(Stats!D$9="OK",0,IF(Stats!D$9="Mírně unavená",-5,IF(Stats!D$9="Unavená",-15,IF(Stats!D$9="Silně unavená",-30,IF(Stats!D$9="Vyčerpaná",-MAX(40,(C6+H6+E6)/2),"-----")))))+Combat!AF$13+Combat!AG$14)</f>
        <v/>
      </c>
      <c r="J6" s="373" t="str">
        <f>IF(C6="","",(C6+H6+IF(Character!C$4="Člověk",1.5*E6,E6)+I6)/IF(B6="Akrobacie",CHOOSE(MAX(Combat!AF$1:AF$5)+1,1,1,1,2,4,8),1)/IF(TYPE(MATCH("Nenávist bohů",Character!D$11:D$15,0))&lt;&gt;16,2,1)&amp;"%")</f>
        <v/>
      </c>
      <c r="K6" s="365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</row>
    <row r="7" spans="2:312">
      <c r="B7" s="9"/>
      <c r="C7" s="197" t="str">
        <f>IF(B7&lt;&gt;"",VLOOKUP(B7,'Perks &amp; Skills'!B$69:D$170,2),"")</f>
        <v/>
      </c>
      <c r="D7" s="197" t="str">
        <f>IF(B7&lt;&gt;"",VLOOKUP(B7,'Perks &amp; Skills'!B$69:D$170,3),"")</f>
        <v/>
      </c>
      <c r="E7" s="296"/>
      <c r="F7" s="450" t="str">
        <f>IF(C7="","",IF(AND(IF(AND(OR(MOD(C7,2)&lt;&gt;0,AND(Character!$C$4="Člověk", MOD(E7,2)&lt;&gt;0)),IF(Character!$C$4="Člověk",INT(E7*1.5),E7)=C7),0.5,MAX(INT((C7+IF(Character!$C$4="Člověk",E7*1.5,E7))/C7)-1,0.5))&gt;1,TYPE(MATCH("Učenlivý",Character!D$11:D$15,0))&lt;&gt;16),-1,0)+IF(AND(OR(MOD(C7,2)&lt;&gt;0,AND(Character!$C$4="Člověk", MOD(E7,2)&lt;&gt;0)),IF(Character!$C$4="Člověk",INT(E7*1.5),E7)=C7),0.5,MAX(INT((C7+IF(Character!$C$4="Člověk",E7*1.5,E7))/C7)-1,0.5)))</f>
        <v/>
      </c>
      <c r="G7" s="449"/>
      <c r="H7" s="197" t="str">
        <f>IF(B7="","",IF(AND(Character!C$4="Barbar",B7="Utužování"),10,IF(AND(Character!C$4="Lesní elf",B7="Cvičení zvířat"),10,IF(AND(Character!C$4="Temný elf",B7="Plížení"),10,IF(AND(Character!C$4="Trpaslík",OR(B7="Utužování",B7="Potlačení bolesti")),20,IF(Character!C$4="Gnóm",IF(B7="Stopování",50,IF(OR(B7="Znalost zbraní",B7="Odhad ceny"),75,0)),IF(AND(Character!C$4="Hobit",OR(B7="Akrobacie",B7="Plížení",B7="Otevírání zámků",B7="Odstranění pasti")),10,IF(AND(Character!C$4="Kobold",B7="Stopování"),10,0)))))))+IF(AND(B7="Zpěv",TYPE(MATCH("Pěvec",Character!D$11:D$15,0))&lt;&gt;16),20,0)+IF(AND(OR(B7="Utužování",B7="Potlačení bolesti"),TYPE(MATCH("Tvrdá nátura",Character!D$11:D$15,0))&lt;&gt;16),20,0)+IF(AND(B7="Svádění",TYPE(MATCH("Svůdce",Character!D$11:D$15,0))&lt;&gt;16),20,0)+IF(AND(B7="Vnímavost",TYPE(MATCH("Akční hoch",Character!D$11:D$15,0))&lt;&gt;16),20,0)+IF(AND(B7="Vnímavost",TYPE(MATCH("Bystrozraký",Character!D$11:D$15,0))&lt;&gt;16),20,0)+IF(AND(B7="Plížení",TYPE(MATCH("Tichošlápek",Character!D$11:D$15,0))&lt;&gt;16),20,0)+IF(AND(OR(B7="Kradení",B7="Fixlování",B7="Kovářství",B7="Odstranění pasti",B7="Otevírání zámků",B7="Padělání",B7="Šití",B7="Tesařství a truhlářství"),TYPE(MATCH("Šikula",Character!D$11:D$15,0))&lt;&gt;16),10,0)+IF(AND(OR(B7="Zastraš nemrtvé",B7="Zastraš démony"),TYPE(MATCH("Exorcista",Character!D$11:D$15,0))&lt;&gt;16),20,0)+IF(AND(B7="Navigace",TYPE(MATCH("Světaznalý",Character!D$11:D$15,0))&lt;&gt;16),20,0)+IF(AND(OR(B7="Fixlování",B7="Kradení",B7="Převleky"),TYPE(MATCH("Herec",Character!D$11:D$15,0))&lt;&gt;16),15,0)+IF(AND(OR(B7="Přesvědčování",B7="Zastraš draky",B7="Zastraš lykantropy"),TYPE(MATCH("Řečník",Character!D$11:D$15,0))&lt;&gt;16),15,0)+IF(AND(OR(B7="Hra na hudební nástroj - strunné",B7="Hra na hudební nástroj - dechové",B7="Hra na hudební nástroj - bicí"),TYPE(MATCH("Hudebník",Character!D$11:D$15,0))&lt;&gt;16),20,0)+IF(AND(B7="Znalost rostlin",TYPE(MATCH("Botanik",Character!D$11:D$15,0))&lt;&gt;16),20,0)+IF(AND(B7="Detekce magie",TYPE(MATCH("Alergie na magii",Character!D$11:D$15,0))&lt;&gt;16),50,0)+IF(AND(OR(B7="Převleky",B7="Fixlování"),TYPE(MATCH("Podvodník",Character!D$11:D$15,0))&lt;&gt;16),30,0))</f>
        <v/>
      </c>
      <c r="I7" s="344" t="str">
        <f>IF(C7="","",IF(Stats!D$9="OK",0,IF(Stats!D$9="Mírně unavená",-5,IF(Stats!D$9="Unavená",-15,IF(Stats!D$9="Silně unavená",-30,IF(Stats!D$9="Vyčerpaná",-MAX(40,(C7+H7+E7)/2),"-----")))))+Combat!AF$13+Combat!AG$14)</f>
        <v/>
      </c>
      <c r="J7" s="373" t="str">
        <f>IF(C7="","",(C7+H7+IF(Character!C$4="Člověk",1.5*E7,E7)+I7)/IF(B7="Akrobacie",CHOOSE(MAX(Combat!AF$1:AF$5)+1,1,1,1,2,4,8),1)/IF(TYPE(MATCH("Nenávist bohů",Character!D$11:D$15,0))&lt;&gt;16,2,1)&amp;"%")</f>
        <v/>
      </c>
      <c r="K7" s="365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</row>
    <row r="8" spans="2:312">
      <c r="B8" s="9"/>
      <c r="C8" s="197" t="str">
        <f>IF(B8&lt;&gt;"",VLOOKUP(B8,'Perks &amp; Skills'!B$69:D$170,2),"")</f>
        <v/>
      </c>
      <c r="D8" s="197" t="str">
        <f>IF(B8&lt;&gt;"",VLOOKUP(B8,'Perks &amp; Skills'!B$69:D$170,3),"")</f>
        <v/>
      </c>
      <c r="E8" s="296"/>
      <c r="F8" s="450" t="str">
        <f>IF(C8="","",IF(AND(IF(AND(OR(MOD(C8,2)&lt;&gt;0,AND(Character!$C$4="Člověk", MOD(E8,2)&lt;&gt;0)),IF(Character!$C$4="Člověk",INT(E8*1.5),E8)=C8),0.5,MAX(INT((C8+IF(Character!$C$4="Člověk",E8*1.5,E8))/C8)-1,0.5))&gt;1,TYPE(MATCH("Učenlivý",Character!D$11:D$15,0))&lt;&gt;16),-1,0)+IF(AND(OR(MOD(C8,2)&lt;&gt;0,AND(Character!$C$4="Člověk", MOD(E8,2)&lt;&gt;0)),IF(Character!$C$4="Člověk",INT(E8*1.5),E8)=C8),0.5,MAX(INT((C8+IF(Character!$C$4="Člověk",E8*1.5,E8))/C8)-1,0.5)))</f>
        <v/>
      </c>
      <c r="G8" s="449"/>
      <c r="H8" s="197" t="str">
        <f>IF(B8="","",IF(AND(Character!C$4="Barbar",B8="Utužování"),10,IF(AND(Character!C$4="Lesní elf",B8="Cvičení zvířat"),10,IF(AND(Character!C$4="Temný elf",B8="Plížení"),10,IF(AND(Character!C$4="Trpaslík",OR(B8="Utužování",B8="Potlačení bolesti")),20,IF(Character!C$4="Gnóm",IF(B8="Stopování",50,IF(OR(B8="Znalost zbraní",B8="Odhad ceny"),75,0)),IF(AND(Character!C$4="Hobit",OR(B8="Akrobacie",B8="Plížení",B8="Otevírání zámků",B8="Odstranění pasti")),10,IF(AND(Character!C$4="Kobold",B8="Stopování"),10,0)))))))+IF(AND(B8="Zpěv",TYPE(MATCH("Pěvec",Character!D$11:D$15,0))&lt;&gt;16),20,0)+IF(AND(OR(B8="Utužování",B8="Potlačení bolesti"),TYPE(MATCH("Tvrdá nátura",Character!D$11:D$15,0))&lt;&gt;16),20,0)+IF(AND(B8="Svádění",TYPE(MATCH("Svůdce",Character!D$11:D$15,0))&lt;&gt;16),20,0)+IF(AND(B8="Vnímavost",TYPE(MATCH("Akční hoch",Character!D$11:D$15,0))&lt;&gt;16),20,0)+IF(AND(B8="Vnímavost",TYPE(MATCH("Bystrozraký",Character!D$11:D$15,0))&lt;&gt;16),20,0)+IF(AND(B8="Plížení",TYPE(MATCH("Tichošlápek",Character!D$11:D$15,0))&lt;&gt;16),20,0)+IF(AND(OR(B8="Kradení",B8="Fixlování",B8="Kovářství",B8="Odstranění pasti",B8="Otevírání zámků",B8="Padělání",B8="Šití",B8="Tesařství a truhlářství"),TYPE(MATCH("Šikula",Character!D$11:D$15,0))&lt;&gt;16),10,0)+IF(AND(OR(B8="Zastraš nemrtvé",B8="Zastraš démony"),TYPE(MATCH("Exorcista",Character!D$11:D$15,0))&lt;&gt;16),20,0)+IF(AND(B8="Navigace",TYPE(MATCH("Světaznalý",Character!D$11:D$15,0))&lt;&gt;16),20,0)+IF(AND(OR(B8="Fixlování",B8="Kradení",B8="Převleky"),TYPE(MATCH("Herec",Character!D$11:D$15,0))&lt;&gt;16),15,0)+IF(AND(OR(B8="Přesvědčování",B8="Zastraš draky",B8="Zastraš lykantropy"),TYPE(MATCH("Řečník",Character!D$11:D$15,0))&lt;&gt;16),15,0)+IF(AND(OR(B8="Hra na hudební nástroj - strunné",B8="Hra na hudební nástroj - dechové",B8="Hra na hudební nástroj - bicí"),TYPE(MATCH("Hudebník",Character!D$11:D$15,0))&lt;&gt;16),20,0)+IF(AND(B8="Znalost rostlin",TYPE(MATCH("Botanik",Character!D$11:D$15,0))&lt;&gt;16),20,0)+IF(AND(B8="Detekce magie",TYPE(MATCH("Alergie na magii",Character!D$11:D$15,0))&lt;&gt;16),50,0)+IF(AND(OR(B8="Převleky",B8="Fixlování"),TYPE(MATCH("Podvodník",Character!D$11:D$15,0))&lt;&gt;16),30,0))</f>
        <v/>
      </c>
      <c r="I8" s="344" t="str">
        <f>IF(C8="","",IF(Stats!D$9="OK",0,IF(Stats!D$9="Mírně unavená",-5,IF(Stats!D$9="Unavená",-15,IF(Stats!D$9="Silně unavená",-30,IF(Stats!D$9="Vyčerpaná",-MAX(40,(C8+H8+E8)/2),"-----")))))+Combat!AF$13+Combat!AG$14)</f>
        <v/>
      </c>
      <c r="J8" s="373" t="str">
        <f>IF(C8="","",(C8+H8+IF(Character!C$4="Člověk",1.5*E8,E8)+I8)/IF(B8="Akrobacie",CHOOSE(MAX(Combat!AF$1:AF$5)+1,1,1,1,2,4,8),1)/IF(TYPE(MATCH("Nenávist bohů",Character!D$11:D$15,0))&lt;&gt;16,2,1)&amp;"%")</f>
        <v/>
      </c>
      <c r="K8" s="365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</row>
    <row r="9" spans="2:312">
      <c r="B9" s="9"/>
      <c r="C9" s="197" t="str">
        <f>IF(B9&lt;&gt;"",VLOOKUP(B9,'Perks &amp; Skills'!B$69:D$170,2),"")</f>
        <v/>
      </c>
      <c r="D9" s="197" t="str">
        <f>IF(B9&lt;&gt;"",VLOOKUP(B9,'Perks &amp; Skills'!B$69:D$170,3),"")</f>
        <v/>
      </c>
      <c r="E9" s="296"/>
      <c r="F9" s="450" t="str">
        <f>IF(C9="","",IF(AND(IF(AND(OR(MOD(C9,2)&lt;&gt;0,AND(Character!$C$4="Člověk", MOD(E9,2)&lt;&gt;0)),IF(Character!$C$4="Člověk",INT(E9*1.5),E9)=C9),0.5,MAX(INT((C9+IF(Character!$C$4="Člověk",E9*1.5,E9))/C9)-1,0.5))&gt;1,TYPE(MATCH("Učenlivý",Character!D$11:D$15,0))&lt;&gt;16),-1,0)+IF(AND(OR(MOD(C9,2)&lt;&gt;0,AND(Character!$C$4="Člověk", MOD(E9,2)&lt;&gt;0)),IF(Character!$C$4="Člověk",INT(E9*1.5),E9)=C9),0.5,MAX(INT((C9+IF(Character!$C$4="Člověk",E9*1.5,E9))/C9)-1,0.5)))</f>
        <v/>
      </c>
      <c r="G9" s="449"/>
      <c r="H9" s="197" t="str">
        <f>IF(B9="","",IF(AND(Character!C$4="Barbar",B9="Utužování"),10,IF(AND(Character!C$4="Lesní elf",B9="Cvičení zvířat"),10,IF(AND(Character!C$4="Temný elf",B9="Plížení"),10,IF(AND(Character!C$4="Trpaslík",OR(B9="Utužování",B9="Potlačení bolesti")),20,IF(Character!C$4="Gnóm",IF(B9="Stopování",50,IF(OR(B9="Znalost zbraní",B9="Odhad ceny"),75,0)),IF(AND(Character!C$4="Hobit",OR(B9="Akrobacie",B9="Plížení",B9="Otevírání zámků",B9="Odstranění pasti")),10,IF(AND(Character!C$4="Kobold",B9="Stopování"),10,0)))))))+IF(AND(B9="Zpěv",TYPE(MATCH("Pěvec",Character!D$11:D$15,0))&lt;&gt;16),20,0)+IF(AND(OR(B9="Utužování",B9="Potlačení bolesti"),TYPE(MATCH("Tvrdá nátura",Character!D$11:D$15,0))&lt;&gt;16),20,0)+IF(AND(B9="Svádění",TYPE(MATCH("Svůdce",Character!D$11:D$15,0))&lt;&gt;16),20,0)+IF(AND(B9="Vnímavost",TYPE(MATCH("Akční hoch",Character!D$11:D$15,0))&lt;&gt;16),20,0)+IF(AND(B9="Vnímavost",TYPE(MATCH("Bystrozraký",Character!D$11:D$15,0))&lt;&gt;16),20,0)+IF(AND(B9="Plížení",TYPE(MATCH("Tichošlápek",Character!D$11:D$15,0))&lt;&gt;16),20,0)+IF(AND(OR(B9="Kradení",B9="Fixlování",B9="Kovářství",B9="Odstranění pasti",B9="Otevírání zámků",B9="Padělání",B9="Šití",B9="Tesařství a truhlářství"),TYPE(MATCH("Šikula",Character!D$11:D$15,0))&lt;&gt;16),10,0)+IF(AND(OR(B9="Zastraš nemrtvé",B9="Zastraš démony"),TYPE(MATCH("Exorcista",Character!D$11:D$15,0))&lt;&gt;16),20,0)+IF(AND(B9="Navigace",TYPE(MATCH("Světaznalý",Character!D$11:D$15,0))&lt;&gt;16),20,0)+IF(AND(OR(B9="Fixlování",B9="Kradení",B9="Převleky"),TYPE(MATCH("Herec",Character!D$11:D$15,0))&lt;&gt;16),15,0)+IF(AND(OR(B9="Přesvědčování",B9="Zastraš draky",B9="Zastraš lykantropy"),TYPE(MATCH("Řečník",Character!D$11:D$15,0))&lt;&gt;16),15,0)+IF(AND(OR(B9="Hra na hudební nástroj - strunné",B9="Hra na hudební nástroj - dechové",B9="Hra na hudební nástroj - bicí"),TYPE(MATCH("Hudebník",Character!D$11:D$15,0))&lt;&gt;16),20,0)+IF(AND(B9="Znalost rostlin",TYPE(MATCH("Botanik",Character!D$11:D$15,0))&lt;&gt;16),20,0)+IF(AND(B9="Detekce magie",TYPE(MATCH("Alergie na magii",Character!D$11:D$15,0))&lt;&gt;16),50,0)+IF(AND(OR(B9="Převleky",B9="Fixlování"),TYPE(MATCH("Podvodník",Character!D$11:D$15,0))&lt;&gt;16),30,0))</f>
        <v/>
      </c>
      <c r="I9" s="344" t="str">
        <f>IF(C9="","",IF(Stats!D$9="OK",0,IF(Stats!D$9="Mírně unavená",-5,IF(Stats!D$9="Unavená",-15,IF(Stats!D$9="Silně unavená",-30,IF(Stats!D$9="Vyčerpaná",-MAX(40,(C9+H9+E9)/2),"-----")))))+Combat!AF$13+Combat!AG$14)</f>
        <v/>
      </c>
      <c r="J9" s="373" t="str">
        <f>IF(C9="","",(C9+H9+IF(Character!C$4="Člověk",1.5*E9,E9)+I9)/IF(B9="Akrobacie",CHOOSE(MAX(Combat!AF$1:AF$5)+1,1,1,1,2,4,8),1)/IF(TYPE(MATCH("Nenávist bohů",Character!D$11:D$15,0))&lt;&gt;16,2,1)&amp;"%")</f>
        <v/>
      </c>
      <c r="K9" s="365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</row>
    <row r="10" spans="2:312">
      <c r="B10" s="9"/>
      <c r="C10" s="197" t="str">
        <f>IF(B10&lt;&gt;"",VLOOKUP(B10,'Perks &amp; Skills'!B$69:D$170,2),"")</f>
        <v/>
      </c>
      <c r="D10" s="197" t="str">
        <f>IF(B10&lt;&gt;"",VLOOKUP(B10,'Perks &amp; Skills'!B$69:D$170,3),"")</f>
        <v/>
      </c>
      <c r="E10" s="296"/>
      <c r="F10" s="450" t="str">
        <f>IF(C10="","",IF(AND(IF(AND(OR(MOD(C10,2)&lt;&gt;0,AND(Character!$C$4="Člověk", MOD(E10,2)&lt;&gt;0)),IF(Character!$C$4="Člověk",INT(E10*1.5),E10)=C10),0.5,MAX(INT((C10+IF(Character!$C$4="Člověk",E10*1.5,E10))/C10)-1,0.5))&gt;1,TYPE(MATCH("Učenlivý",Character!D$11:D$15,0))&lt;&gt;16),-1,0)+IF(AND(OR(MOD(C10,2)&lt;&gt;0,AND(Character!$C$4="Člověk", MOD(E10,2)&lt;&gt;0)),IF(Character!$C$4="Člověk",INT(E10*1.5),E10)=C10),0.5,MAX(INT((C10+IF(Character!$C$4="Člověk",E10*1.5,E10))/C10)-1,0.5)))</f>
        <v/>
      </c>
      <c r="G10" s="449"/>
      <c r="H10" s="197" t="str">
        <f>IF(B10="","",IF(AND(Character!C$4="Barbar",B10="Utužování"),10,IF(AND(Character!C$4="Lesní elf",B10="Cvičení zvířat"),10,IF(AND(Character!C$4="Temný elf",B10="Plížení"),10,IF(AND(Character!C$4="Trpaslík",OR(B10="Utužování",B10="Potlačení bolesti")),20,IF(Character!C$4="Gnóm",IF(B10="Stopování",50,IF(OR(B10="Znalost zbraní",B10="Odhad ceny"),75,0)),IF(AND(Character!C$4="Hobit",OR(B10="Akrobacie",B10="Plížení",B10="Otevírání zámků",B10="Odstranění pasti")),10,IF(AND(Character!C$4="Kobold",B10="Stopování"),10,0)))))))+IF(AND(B10="Zpěv",TYPE(MATCH("Pěvec",Character!D$11:D$15,0))&lt;&gt;16),20,0)+IF(AND(OR(B10="Utužování",B10="Potlačení bolesti"),TYPE(MATCH("Tvrdá nátura",Character!D$11:D$15,0))&lt;&gt;16),20,0)+IF(AND(B10="Svádění",TYPE(MATCH("Svůdce",Character!D$11:D$15,0))&lt;&gt;16),20,0)+IF(AND(B10="Vnímavost",TYPE(MATCH("Akční hoch",Character!D$11:D$15,0))&lt;&gt;16),20,0)+IF(AND(B10="Vnímavost",TYPE(MATCH("Bystrozraký",Character!D$11:D$15,0))&lt;&gt;16),20,0)+IF(AND(B10="Plížení",TYPE(MATCH("Tichošlápek",Character!D$11:D$15,0))&lt;&gt;16),20,0)+IF(AND(OR(B10="Kradení",B10="Fixlování",B10="Kovářství",B10="Odstranění pasti",B10="Otevírání zámků",B10="Padělání",B10="Šití",B10="Tesařství a truhlářství"),TYPE(MATCH("Šikula",Character!D$11:D$15,0))&lt;&gt;16),10,0)+IF(AND(OR(B10="Zastraš nemrtvé",B10="Zastraš démony"),TYPE(MATCH("Exorcista",Character!D$11:D$15,0))&lt;&gt;16),20,0)+IF(AND(B10="Navigace",TYPE(MATCH("Světaznalý",Character!D$11:D$15,0))&lt;&gt;16),20,0)+IF(AND(OR(B10="Fixlování",B10="Kradení",B10="Převleky"),TYPE(MATCH("Herec",Character!D$11:D$15,0))&lt;&gt;16),15,0)+IF(AND(OR(B10="Přesvědčování",B10="Zastraš draky",B10="Zastraš lykantropy"),TYPE(MATCH("Řečník",Character!D$11:D$15,0))&lt;&gt;16),15,0)+IF(AND(OR(B10="Hra na hudební nástroj - strunné",B10="Hra na hudební nástroj - dechové",B10="Hra na hudební nástroj - bicí"),TYPE(MATCH("Hudebník",Character!D$11:D$15,0))&lt;&gt;16),20,0)+IF(AND(B10="Znalost rostlin",TYPE(MATCH("Botanik",Character!D$11:D$15,0))&lt;&gt;16),20,0)+IF(AND(B10="Detekce magie",TYPE(MATCH("Alergie na magii",Character!D$11:D$15,0))&lt;&gt;16),50,0)+IF(AND(OR(B10="Převleky",B10="Fixlování"),TYPE(MATCH("Podvodník",Character!D$11:D$15,0))&lt;&gt;16),30,0))</f>
        <v/>
      </c>
      <c r="I10" s="344" t="str">
        <f>IF(C10="","",IF(Stats!D$9="OK",0,IF(Stats!D$9="Mírně unavená",-5,IF(Stats!D$9="Unavená",-15,IF(Stats!D$9="Silně unavená",-30,IF(Stats!D$9="Vyčerpaná",-MAX(40,(C10+H10+E10)/2),"-----")))))+Combat!AF$13+Combat!AG$14)</f>
        <v/>
      </c>
      <c r="J10" s="373" t="str">
        <f>IF(C10="","",(C10+H10+IF(Character!C$4="Člověk",1.5*E10,E10)+I10)/IF(B10="Akrobacie",CHOOSE(MAX(Combat!AF$1:AF$5)+1,1,1,1,2,4,8),1)/IF(TYPE(MATCH("Nenávist bohů",Character!D$11:D$15,0))&lt;&gt;16,2,1)&amp;"%")</f>
        <v/>
      </c>
      <c r="K10" s="36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</row>
    <row r="11" spans="2:312">
      <c r="B11" s="9"/>
      <c r="C11" s="197" t="str">
        <f>IF(B11&lt;&gt;"",VLOOKUP(B11,'Perks &amp; Skills'!B$69:D$170,2),"")</f>
        <v/>
      </c>
      <c r="D11" s="197" t="str">
        <f>IF(B11&lt;&gt;"",VLOOKUP(B11,'Perks &amp; Skills'!B$69:D$170,3),"")</f>
        <v/>
      </c>
      <c r="E11" s="296"/>
      <c r="F11" s="450" t="str">
        <f>IF(C11="","",IF(AND(IF(AND(OR(MOD(C11,2)&lt;&gt;0,AND(Character!$C$4="Člověk", MOD(E11,2)&lt;&gt;0)),IF(Character!$C$4="Člověk",INT(E11*1.5),E11)=C11),0.5,MAX(INT((C11+IF(Character!$C$4="Člověk",E11*1.5,E11))/C11)-1,0.5))&gt;1,TYPE(MATCH("Učenlivý",Character!D$11:D$15,0))&lt;&gt;16),-1,0)+IF(AND(OR(MOD(C11,2)&lt;&gt;0,AND(Character!$C$4="Člověk", MOD(E11,2)&lt;&gt;0)),IF(Character!$C$4="Člověk",INT(E11*1.5),E11)=C11),0.5,MAX(INT((C11+IF(Character!$C$4="Člověk",E11*1.5,E11))/C11)-1,0.5)))</f>
        <v/>
      </c>
      <c r="G11" s="449"/>
      <c r="H11" s="197" t="str">
        <f>IF(B11="","",IF(AND(Character!C$4="Barbar",B11="Utužování"),10,IF(AND(Character!C$4="Lesní elf",B11="Cvičení zvířat"),10,IF(AND(Character!C$4="Temný elf",B11="Plížení"),10,IF(AND(Character!C$4="Trpaslík",OR(B11="Utužování",B11="Potlačení bolesti")),20,IF(Character!C$4="Gnóm",IF(B11="Stopování",50,IF(OR(B11="Znalost zbraní",B11="Odhad ceny"),75,0)),IF(AND(Character!C$4="Hobit",OR(B11="Akrobacie",B11="Plížení",B11="Otevírání zámků",B11="Odstranění pasti")),10,IF(AND(Character!C$4="Kobold",B11="Stopování"),10,0)))))))+IF(AND(B11="Zpěv",TYPE(MATCH("Pěvec",Character!D$11:D$15,0))&lt;&gt;16),20,0)+IF(AND(OR(B11="Utužování",B11="Potlačení bolesti"),TYPE(MATCH("Tvrdá nátura",Character!D$11:D$15,0))&lt;&gt;16),20,0)+IF(AND(B11="Svádění",TYPE(MATCH("Svůdce",Character!D$11:D$15,0))&lt;&gt;16),20,0)+IF(AND(B11="Vnímavost",TYPE(MATCH("Akční hoch",Character!D$11:D$15,0))&lt;&gt;16),20,0)+IF(AND(B11="Vnímavost",TYPE(MATCH("Bystrozraký",Character!D$11:D$15,0))&lt;&gt;16),20,0)+IF(AND(B11="Plížení",TYPE(MATCH("Tichošlápek",Character!D$11:D$15,0))&lt;&gt;16),20,0)+IF(AND(OR(B11="Kradení",B11="Fixlování",B11="Kovářství",B11="Odstranění pasti",B11="Otevírání zámků",B11="Padělání",B11="Šití",B11="Tesařství a truhlářství"),TYPE(MATCH("Šikula",Character!D$11:D$15,0))&lt;&gt;16),10,0)+IF(AND(OR(B11="Zastraš nemrtvé",B11="Zastraš démony"),TYPE(MATCH("Exorcista",Character!D$11:D$15,0))&lt;&gt;16),20,0)+IF(AND(B11="Navigace",TYPE(MATCH("Světaznalý",Character!D$11:D$15,0))&lt;&gt;16),20,0)+IF(AND(OR(B11="Fixlování",B11="Kradení",B11="Převleky"),TYPE(MATCH("Herec",Character!D$11:D$15,0))&lt;&gt;16),15,0)+IF(AND(OR(B11="Přesvědčování",B11="Zastraš draky",B11="Zastraš lykantropy"),TYPE(MATCH("Řečník",Character!D$11:D$15,0))&lt;&gt;16),15,0)+IF(AND(OR(B11="Hra na hudební nástroj - strunné",B11="Hra na hudební nástroj - dechové",B11="Hra na hudební nástroj - bicí"),TYPE(MATCH("Hudebník",Character!D$11:D$15,0))&lt;&gt;16),20,0)+IF(AND(B11="Znalost rostlin",TYPE(MATCH("Botanik",Character!D$11:D$15,0))&lt;&gt;16),20,0)+IF(AND(B11="Detekce magie",TYPE(MATCH("Alergie na magii",Character!D$11:D$15,0))&lt;&gt;16),50,0)+IF(AND(OR(B11="Převleky",B11="Fixlování"),TYPE(MATCH("Podvodník",Character!D$11:D$15,0))&lt;&gt;16),30,0))</f>
        <v/>
      </c>
      <c r="I11" s="344" t="str">
        <f>IF(C11="","",IF(Stats!D$9="OK",0,IF(Stats!D$9="Mírně unavená",-5,IF(Stats!D$9="Unavená",-15,IF(Stats!D$9="Silně unavená",-30,IF(Stats!D$9="Vyčerpaná",-MAX(40,(C11+H11+E11)/2),"-----")))))+Combat!AF$13+Combat!AG$14)</f>
        <v/>
      </c>
      <c r="J11" s="373" t="str">
        <f>IF(C11="","",(C11+H11+IF(Character!C$4="Člověk",1.5*E11,E11)+I11)/IF(B11="Akrobacie",CHOOSE(MAX(Combat!AF$1:AF$5)+1,1,1,1,2,4,8),1)/IF(TYPE(MATCH("Nenávist bohů",Character!D$11:D$15,0))&lt;&gt;16,2,1)&amp;"%")</f>
        <v/>
      </c>
      <c r="K11" s="365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</row>
    <row r="12" spans="2:312">
      <c r="B12" s="9"/>
      <c r="C12" s="197" t="str">
        <f>IF(B12&lt;&gt;"",VLOOKUP(B12,'Perks &amp; Skills'!B$69:D$170,2),"")</f>
        <v/>
      </c>
      <c r="D12" s="197" t="str">
        <f>IF(B12&lt;&gt;"",VLOOKUP(B12,'Perks &amp; Skills'!B$69:D$170,3),"")</f>
        <v/>
      </c>
      <c r="E12" s="296"/>
      <c r="F12" s="450" t="str">
        <f>IF(C12="","",IF(AND(IF(AND(OR(MOD(C12,2)&lt;&gt;0,AND(Character!$C$4="Člověk", MOD(E12,2)&lt;&gt;0)),IF(Character!$C$4="Člověk",INT(E12*1.5),E12)=C12),0.5,MAX(INT((C12+IF(Character!$C$4="Člověk",E12*1.5,E12))/C12)-1,0.5))&gt;1,TYPE(MATCH("Učenlivý",Character!D$11:D$15,0))&lt;&gt;16),-1,0)+IF(AND(OR(MOD(C12,2)&lt;&gt;0,AND(Character!$C$4="Člověk", MOD(E12,2)&lt;&gt;0)),IF(Character!$C$4="Člověk",INT(E12*1.5),E12)=C12),0.5,MAX(INT((C12+IF(Character!$C$4="Člověk",E12*1.5,E12))/C12)-1,0.5)))</f>
        <v/>
      </c>
      <c r="G12" s="449"/>
      <c r="H12" s="197" t="str">
        <f>IF(B12="","",IF(AND(Character!C$4="Barbar",B12="Utužování"),10,IF(AND(Character!C$4="Lesní elf",B12="Cvičení zvířat"),10,IF(AND(Character!C$4="Temný elf",B12="Plížení"),10,IF(AND(Character!C$4="Trpaslík",OR(B12="Utužování",B12="Potlačení bolesti")),20,IF(Character!C$4="Gnóm",IF(B12="Stopování",50,IF(OR(B12="Znalost zbraní",B12="Odhad ceny"),75,0)),IF(AND(Character!C$4="Hobit",OR(B12="Akrobacie",B12="Plížení",B12="Otevírání zámků",B12="Odstranění pasti")),10,IF(AND(Character!C$4="Kobold",B12="Stopování"),10,0)))))))+IF(AND(B12="Zpěv",TYPE(MATCH("Pěvec",Character!D$11:D$15,0))&lt;&gt;16),20,0)+IF(AND(OR(B12="Utužování",B12="Potlačení bolesti"),TYPE(MATCH("Tvrdá nátura",Character!D$11:D$15,0))&lt;&gt;16),20,0)+IF(AND(B12="Svádění",TYPE(MATCH("Svůdce",Character!D$11:D$15,0))&lt;&gt;16),20,0)+IF(AND(B12="Vnímavost",TYPE(MATCH("Akční hoch",Character!D$11:D$15,0))&lt;&gt;16),20,0)+IF(AND(B12="Vnímavost",TYPE(MATCH("Bystrozraký",Character!D$11:D$15,0))&lt;&gt;16),20,0)+IF(AND(B12="Plížení",TYPE(MATCH("Tichošlápek",Character!D$11:D$15,0))&lt;&gt;16),20,0)+IF(AND(OR(B12="Kradení",B12="Fixlování",B12="Kovářství",B12="Odstranění pasti",B12="Otevírání zámků",B12="Padělání",B12="Šití",B12="Tesařství a truhlářství"),TYPE(MATCH("Šikula",Character!D$11:D$15,0))&lt;&gt;16),10,0)+IF(AND(OR(B12="Zastraš nemrtvé",B12="Zastraš démony"),TYPE(MATCH("Exorcista",Character!D$11:D$15,0))&lt;&gt;16),20,0)+IF(AND(B12="Navigace",TYPE(MATCH("Světaznalý",Character!D$11:D$15,0))&lt;&gt;16),20,0)+IF(AND(OR(B12="Fixlování",B12="Kradení",B12="Převleky"),TYPE(MATCH("Herec",Character!D$11:D$15,0))&lt;&gt;16),15,0)+IF(AND(OR(B12="Přesvědčování",B12="Zastraš draky",B12="Zastraš lykantropy"),TYPE(MATCH("Řečník",Character!D$11:D$15,0))&lt;&gt;16),15,0)+IF(AND(OR(B12="Hra na hudební nástroj - strunné",B12="Hra na hudební nástroj - dechové",B12="Hra na hudební nástroj - bicí"),TYPE(MATCH("Hudebník",Character!D$11:D$15,0))&lt;&gt;16),20,0)+IF(AND(B12="Znalost rostlin",TYPE(MATCH("Botanik",Character!D$11:D$15,0))&lt;&gt;16),20,0)+IF(AND(B12="Detekce magie",TYPE(MATCH("Alergie na magii",Character!D$11:D$15,0))&lt;&gt;16),50,0)+IF(AND(OR(B12="Převleky",B12="Fixlování"),TYPE(MATCH("Podvodník",Character!D$11:D$15,0))&lt;&gt;16),30,0))</f>
        <v/>
      </c>
      <c r="I12" s="344" t="str">
        <f>IF(C12="","",IF(Stats!D$9="OK",0,IF(Stats!D$9="Mírně unavená",-5,IF(Stats!D$9="Unavená",-15,IF(Stats!D$9="Silně unavená",-30,IF(Stats!D$9="Vyčerpaná",-MAX(40,(C12+H12+E12)/2),"-----")))))+Combat!AF$13+Combat!AG$14)</f>
        <v/>
      </c>
      <c r="J12" s="373" t="str">
        <f>IF(C12="","",(C12+H12+IF(Character!C$4="Člověk",1.5*E12,E12)+I12)/IF(B12="Akrobacie",CHOOSE(MAX(Combat!AF$1:AF$5)+1,1,1,1,2,4,8),1)/IF(TYPE(MATCH("Nenávist bohů",Character!D$11:D$15,0))&lt;&gt;16,2,1)&amp;"%")</f>
        <v/>
      </c>
      <c r="K12" s="365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</row>
    <row r="13" spans="2:312">
      <c r="B13" s="9"/>
      <c r="C13" s="197" t="str">
        <f>IF(B13&lt;&gt;"",VLOOKUP(B13,'Perks &amp; Skills'!B$69:D$170,2),"")</f>
        <v/>
      </c>
      <c r="D13" s="197" t="str">
        <f>IF(B13&lt;&gt;"",VLOOKUP(B13,'Perks &amp; Skills'!B$69:D$170,3),"")</f>
        <v/>
      </c>
      <c r="E13" s="296"/>
      <c r="F13" s="450" t="str">
        <f>IF(C13="","",IF(AND(IF(AND(OR(MOD(C13,2)&lt;&gt;0,AND(Character!$C$4="Člověk", MOD(E13,2)&lt;&gt;0)),IF(Character!$C$4="Člověk",INT(E13*1.5),E13)=C13),0.5,MAX(INT((C13+IF(Character!$C$4="Člověk",E13*1.5,E13))/C13)-1,0.5))&gt;1,TYPE(MATCH("Učenlivý",Character!D$11:D$15,0))&lt;&gt;16),-1,0)+IF(AND(OR(MOD(C13,2)&lt;&gt;0,AND(Character!$C$4="Člověk", MOD(E13,2)&lt;&gt;0)),IF(Character!$C$4="Člověk",INT(E13*1.5),E13)=C13),0.5,MAX(INT((C13+IF(Character!$C$4="Člověk",E13*1.5,E13))/C13)-1,0.5)))</f>
        <v/>
      </c>
      <c r="G13" s="449"/>
      <c r="H13" s="197" t="str">
        <f>IF(B13="","",IF(AND(Character!C$4="Barbar",B13="Utužování"),10,IF(AND(Character!C$4="Lesní elf",B13="Cvičení zvířat"),10,IF(AND(Character!C$4="Temný elf",B13="Plížení"),10,IF(AND(Character!C$4="Trpaslík",OR(B13="Utužování",B13="Potlačení bolesti")),20,IF(Character!C$4="Gnóm",IF(B13="Stopování",50,IF(OR(B13="Znalost zbraní",B13="Odhad ceny"),75,0)),IF(AND(Character!C$4="Hobit",OR(B13="Akrobacie",B13="Plížení",B13="Otevírání zámků",B13="Odstranění pasti")),10,IF(AND(Character!C$4="Kobold",B13="Stopování"),10,0)))))))+IF(AND(B13="Zpěv",TYPE(MATCH("Pěvec",Character!D$11:D$15,0))&lt;&gt;16),20,0)+IF(AND(OR(B13="Utužování",B13="Potlačení bolesti"),TYPE(MATCH("Tvrdá nátura",Character!D$11:D$15,0))&lt;&gt;16),20,0)+IF(AND(B13="Svádění",TYPE(MATCH("Svůdce",Character!D$11:D$15,0))&lt;&gt;16),20,0)+IF(AND(B13="Vnímavost",TYPE(MATCH("Akční hoch",Character!D$11:D$15,0))&lt;&gt;16),20,0)+IF(AND(B13="Vnímavost",TYPE(MATCH("Bystrozraký",Character!D$11:D$15,0))&lt;&gt;16),20,0)+IF(AND(B13="Plížení",TYPE(MATCH("Tichošlápek",Character!D$11:D$15,0))&lt;&gt;16),20,0)+IF(AND(OR(B13="Kradení",B13="Fixlování",B13="Kovářství",B13="Odstranění pasti",B13="Otevírání zámků",B13="Padělání",B13="Šití",B13="Tesařství a truhlářství"),TYPE(MATCH("Šikula",Character!D$11:D$15,0))&lt;&gt;16),10,0)+IF(AND(OR(B13="Zastraš nemrtvé",B13="Zastraš démony"),TYPE(MATCH("Exorcista",Character!D$11:D$15,0))&lt;&gt;16),20,0)+IF(AND(B13="Navigace",TYPE(MATCH("Světaznalý",Character!D$11:D$15,0))&lt;&gt;16),20,0)+IF(AND(OR(B13="Fixlování",B13="Kradení",B13="Převleky"),TYPE(MATCH("Herec",Character!D$11:D$15,0))&lt;&gt;16),15,0)+IF(AND(OR(B13="Přesvědčování",B13="Zastraš draky",B13="Zastraš lykantropy"),TYPE(MATCH("Řečník",Character!D$11:D$15,0))&lt;&gt;16),15,0)+IF(AND(OR(B13="Hra na hudební nástroj - strunné",B13="Hra na hudební nástroj - dechové",B13="Hra na hudební nástroj - bicí"),TYPE(MATCH("Hudebník",Character!D$11:D$15,0))&lt;&gt;16),20,0)+IF(AND(B13="Znalost rostlin",TYPE(MATCH("Botanik",Character!D$11:D$15,0))&lt;&gt;16),20,0)+IF(AND(B13="Detekce magie",TYPE(MATCH("Alergie na magii",Character!D$11:D$15,0))&lt;&gt;16),50,0)+IF(AND(OR(B13="Převleky",B13="Fixlování"),TYPE(MATCH("Podvodník",Character!D$11:D$15,0))&lt;&gt;16),30,0))</f>
        <v/>
      </c>
      <c r="I13" s="344" t="str">
        <f>IF(C13="","",IF(Stats!D$9="OK",0,IF(Stats!D$9="Mírně unavená",-5,IF(Stats!D$9="Unavená",-15,IF(Stats!D$9="Silně unavená",-30,IF(Stats!D$9="Vyčerpaná",-MAX(40,(C13+H13+E13)/2),"-----")))))+Combat!AF$13+Combat!AG$14)</f>
        <v/>
      </c>
      <c r="J13" s="373" t="str">
        <f>IF(C13="","",(C13+H13+IF(Character!C$4="Člověk",1.5*E13,E13)+I13)/IF(B13="Akrobacie",CHOOSE(MAX(Combat!AF$1:AF$5)+1,1,1,1,2,4,8),1)/IF(TYPE(MATCH("Nenávist bohů",Character!D$11:D$15,0))&lt;&gt;16,2,1)&amp;"%")</f>
        <v/>
      </c>
      <c r="K13" s="365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</row>
    <row r="14" spans="2:312">
      <c r="B14" s="9"/>
      <c r="C14" s="197" t="str">
        <f>IF(B14&lt;&gt;"",VLOOKUP(B14,'Perks &amp; Skills'!B$69:D$170,2),"")</f>
        <v/>
      </c>
      <c r="D14" s="197" t="str">
        <f>IF(B14&lt;&gt;"",VLOOKUP(B14,'Perks &amp; Skills'!B$69:D$170,3),"")</f>
        <v/>
      </c>
      <c r="E14" s="296"/>
      <c r="F14" s="450" t="str">
        <f>IF(C14="","",IF(AND(IF(AND(OR(MOD(C14,2)&lt;&gt;0,AND(Character!$C$4="Člověk", MOD(E14,2)&lt;&gt;0)),IF(Character!$C$4="Člověk",INT(E14*1.5),E14)=C14),0.5,MAX(INT((C14+IF(Character!$C$4="Člověk",E14*1.5,E14))/C14)-1,0.5))&gt;1,TYPE(MATCH("Učenlivý",Character!D$11:D$15,0))&lt;&gt;16),-1,0)+IF(AND(OR(MOD(C14,2)&lt;&gt;0,AND(Character!$C$4="Člověk", MOD(E14,2)&lt;&gt;0)),IF(Character!$C$4="Člověk",INT(E14*1.5),E14)=C14),0.5,MAX(INT((C14+IF(Character!$C$4="Člověk",E14*1.5,E14))/C14)-1,0.5)))</f>
        <v/>
      </c>
      <c r="G14" s="449"/>
      <c r="H14" s="197" t="str">
        <f>IF(B14="","",IF(AND(Character!C$4="Barbar",B14="Utužování"),10,IF(AND(Character!C$4="Lesní elf",B14="Cvičení zvířat"),10,IF(AND(Character!C$4="Temný elf",B14="Plížení"),10,IF(AND(Character!C$4="Trpaslík",OR(B14="Utužování",B14="Potlačení bolesti")),20,IF(Character!C$4="Gnóm",IF(B14="Stopování",50,IF(OR(B14="Znalost zbraní",B14="Odhad ceny"),75,0)),IF(AND(Character!C$4="Hobit",OR(B14="Akrobacie",B14="Plížení",B14="Otevírání zámků",B14="Odstranění pasti")),10,IF(AND(Character!C$4="Kobold",B14="Stopování"),10,0)))))))+IF(AND(B14="Zpěv",TYPE(MATCH("Pěvec",Character!D$11:D$15,0))&lt;&gt;16),20,0)+IF(AND(OR(B14="Utužování",B14="Potlačení bolesti"),TYPE(MATCH("Tvrdá nátura",Character!D$11:D$15,0))&lt;&gt;16),20,0)+IF(AND(B14="Svádění",TYPE(MATCH("Svůdce",Character!D$11:D$15,0))&lt;&gt;16),20,0)+IF(AND(B14="Vnímavost",TYPE(MATCH("Akční hoch",Character!D$11:D$15,0))&lt;&gt;16),20,0)+IF(AND(B14="Vnímavost",TYPE(MATCH("Bystrozraký",Character!D$11:D$15,0))&lt;&gt;16),20,0)+IF(AND(B14="Plížení",TYPE(MATCH("Tichošlápek",Character!D$11:D$15,0))&lt;&gt;16),20,0)+IF(AND(OR(B14="Kradení",B14="Fixlování",B14="Kovářství",B14="Odstranění pasti",B14="Otevírání zámků",B14="Padělání",B14="Šití",B14="Tesařství a truhlářství"),TYPE(MATCH("Šikula",Character!D$11:D$15,0))&lt;&gt;16),10,0)+IF(AND(OR(B14="Zastraš nemrtvé",B14="Zastraš démony"),TYPE(MATCH("Exorcista",Character!D$11:D$15,0))&lt;&gt;16),20,0)+IF(AND(B14="Navigace",TYPE(MATCH("Světaznalý",Character!D$11:D$15,0))&lt;&gt;16),20,0)+IF(AND(OR(B14="Fixlování",B14="Kradení",B14="Převleky"),TYPE(MATCH("Herec",Character!D$11:D$15,0))&lt;&gt;16),15,0)+IF(AND(OR(B14="Přesvědčování",B14="Zastraš draky",B14="Zastraš lykantropy"),TYPE(MATCH("Řečník",Character!D$11:D$15,0))&lt;&gt;16),15,0)+IF(AND(OR(B14="Hra na hudební nástroj - strunné",B14="Hra na hudební nástroj - dechové",B14="Hra na hudební nástroj - bicí"),TYPE(MATCH("Hudebník",Character!D$11:D$15,0))&lt;&gt;16),20,0)+IF(AND(B14="Znalost rostlin",TYPE(MATCH("Botanik",Character!D$11:D$15,0))&lt;&gt;16),20,0)+IF(AND(B14="Detekce magie",TYPE(MATCH("Alergie na magii",Character!D$11:D$15,0))&lt;&gt;16),50,0)+IF(AND(OR(B14="Převleky",B14="Fixlování"),TYPE(MATCH("Podvodník",Character!D$11:D$15,0))&lt;&gt;16),30,0))</f>
        <v/>
      </c>
      <c r="I14" s="344" t="str">
        <f>IF(C14="","",IF(Stats!D$9="OK",0,IF(Stats!D$9="Mírně unavená",-5,IF(Stats!D$9="Unavená",-15,IF(Stats!D$9="Silně unavená",-30,IF(Stats!D$9="Vyčerpaná",-MAX(40,(C14+H14+E14)/2),"-----")))))+Combat!AF$13+Combat!AG$14)</f>
        <v/>
      </c>
      <c r="J14" s="373" t="str">
        <f>IF(C14="","",(C14+H14+IF(Character!C$4="Člověk",1.5*E14,E14)+I14)/IF(B14="Akrobacie",CHOOSE(MAX(Combat!AF$1:AF$5)+1,1,1,1,2,4,8),1)/IF(TYPE(MATCH("Nenávist bohů",Character!D$11:D$15,0))&lt;&gt;16,2,1)&amp;"%")</f>
        <v/>
      </c>
      <c r="K14" s="365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</row>
    <row r="15" spans="2:312">
      <c r="B15" s="9"/>
      <c r="C15" s="197" t="str">
        <f>IF(B15&lt;&gt;"",VLOOKUP(B15,'Perks &amp; Skills'!B$69:D$170,2),"")</f>
        <v/>
      </c>
      <c r="D15" s="197" t="str">
        <f>IF(B15&lt;&gt;"",VLOOKUP(B15,'Perks &amp; Skills'!B$69:D$170,3),"")</f>
        <v/>
      </c>
      <c r="E15" s="296"/>
      <c r="F15" s="450" t="str">
        <f>IF(C15="","",IF(AND(IF(AND(OR(MOD(C15,2)&lt;&gt;0,AND(Character!$C$4="Člověk", MOD(E15,2)&lt;&gt;0)),IF(Character!$C$4="Člověk",INT(E15*1.5),E15)=C15),0.5,MAX(INT((C15+IF(Character!$C$4="Člověk",E15*1.5,E15))/C15)-1,0.5))&gt;1,TYPE(MATCH("Učenlivý",Character!D$11:D$15,0))&lt;&gt;16),-1,0)+IF(AND(OR(MOD(C15,2)&lt;&gt;0,AND(Character!$C$4="Člověk", MOD(E15,2)&lt;&gt;0)),IF(Character!$C$4="Člověk",INT(E15*1.5),E15)=C15),0.5,MAX(INT((C15+IF(Character!$C$4="Člověk",E15*1.5,E15))/C15)-1,0.5)))</f>
        <v/>
      </c>
      <c r="G15" s="449"/>
      <c r="H15" s="197" t="str">
        <f>IF(B15="","",IF(AND(Character!C$4="Barbar",B15="Utužování"),10,IF(AND(Character!C$4="Lesní elf",B15="Cvičení zvířat"),10,IF(AND(Character!C$4="Temný elf",B15="Plížení"),10,IF(AND(Character!C$4="Trpaslík",OR(B15="Utužování",B15="Potlačení bolesti")),20,IF(Character!C$4="Gnóm",IF(B15="Stopování",50,IF(OR(B15="Znalost zbraní",B15="Odhad ceny"),75,0)),IF(AND(Character!C$4="Hobit",OR(B15="Akrobacie",B15="Plížení",B15="Otevírání zámků",B15="Odstranění pasti")),10,IF(AND(Character!C$4="Kobold",B15="Stopování"),10,0)))))))+IF(AND(B15="Zpěv",TYPE(MATCH("Pěvec",Character!D$11:D$15,0))&lt;&gt;16),20,0)+IF(AND(OR(B15="Utužování",B15="Potlačení bolesti"),TYPE(MATCH("Tvrdá nátura",Character!D$11:D$15,0))&lt;&gt;16),20,0)+IF(AND(B15="Svádění",TYPE(MATCH("Svůdce",Character!D$11:D$15,0))&lt;&gt;16),20,0)+IF(AND(B15="Vnímavost",TYPE(MATCH("Akční hoch",Character!D$11:D$15,0))&lt;&gt;16),20,0)+IF(AND(B15="Vnímavost",TYPE(MATCH("Bystrozraký",Character!D$11:D$15,0))&lt;&gt;16),20,0)+IF(AND(B15="Plížení",TYPE(MATCH("Tichošlápek",Character!D$11:D$15,0))&lt;&gt;16),20,0)+IF(AND(OR(B15="Kradení",B15="Fixlování",B15="Kovářství",B15="Odstranění pasti",B15="Otevírání zámků",B15="Padělání",B15="Šití",B15="Tesařství a truhlářství"),TYPE(MATCH("Šikula",Character!D$11:D$15,0))&lt;&gt;16),10,0)+IF(AND(OR(B15="Zastraš nemrtvé",B15="Zastraš démony"),TYPE(MATCH("Exorcista",Character!D$11:D$15,0))&lt;&gt;16),20,0)+IF(AND(B15="Navigace",TYPE(MATCH("Světaznalý",Character!D$11:D$15,0))&lt;&gt;16),20,0)+IF(AND(OR(B15="Fixlování",B15="Kradení",B15="Převleky"),TYPE(MATCH("Herec",Character!D$11:D$15,0))&lt;&gt;16),15,0)+IF(AND(OR(B15="Přesvědčování",B15="Zastraš draky",B15="Zastraš lykantropy"),TYPE(MATCH("Řečník",Character!D$11:D$15,0))&lt;&gt;16),15,0)+IF(AND(OR(B15="Hra na hudební nástroj - strunné",B15="Hra na hudební nástroj - dechové",B15="Hra na hudební nástroj - bicí"),TYPE(MATCH("Hudebník",Character!D$11:D$15,0))&lt;&gt;16),20,0)+IF(AND(B15="Znalost rostlin",TYPE(MATCH("Botanik",Character!D$11:D$15,0))&lt;&gt;16),20,0)+IF(AND(B15="Detekce magie",TYPE(MATCH("Alergie na magii",Character!D$11:D$15,0))&lt;&gt;16),50,0)+IF(AND(OR(B15="Převleky",B15="Fixlování"),TYPE(MATCH("Podvodník",Character!D$11:D$15,0))&lt;&gt;16),30,0))</f>
        <v/>
      </c>
      <c r="I15" s="344" t="str">
        <f>IF(C15="","",IF(Stats!D$9="OK",0,IF(Stats!D$9="Mírně unavená",-5,IF(Stats!D$9="Unavená",-15,IF(Stats!D$9="Silně unavená",-30,IF(Stats!D$9="Vyčerpaná",-MAX(40,(C15+H15+E15)/2),"-----")))))+Combat!AF$13+Combat!AG$14)</f>
        <v/>
      </c>
      <c r="J15" s="373" t="str">
        <f>IF(C15="","",(C15+H15+IF(Character!C$4="Člověk",1.5*E15,E15)+I15)/IF(B15="Akrobacie",CHOOSE(MAX(Combat!AF$1:AF$5)+1,1,1,1,2,4,8),1)/IF(TYPE(MATCH("Nenávist bohů",Character!D$11:D$15,0))&lt;&gt;16,2,1)&amp;"%")</f>
        <v/>
      </c>
      <c r="K15" s="365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</row>
    <row r="16" spans="2:312">
      <c r="B16" s="9"/>
      <c r="C16" s="197" t="str">
        <f>IF(B16&lt;&gt;"",VLOOKUP(B16,'Perks &amp; Skills'!B$69:D$170,2),"")</f>
        <v/>
      </c>
      <c r="D16" s="197" t="str">
        <f>IF(B16&lt;&gt;"",VLOOKUP(B16,'Perks &amp; Skills'!B$69:D$170,3),"")</f>
        <v/>
      </c>
      <c r="E16" s="296"/>
      <c r="F16" s="450" t="str">
        <f>IF(C16="","",IF(AND(IF(AND(OR(MOD(C16,2)&lt;&gt;0,AND(Character!$C$4="Člověk", MOD(E16,2)&lt;&gt;0)),IF(Character!$C$4="Člověk",INT(E16*1.5),E16)=C16),0.5,MAX(INT((C16+IF(Character!$C$4="Člověk",E16*1.5,E16))/C16)-1,0.5))&gt;1,TYPE(MATCH("Učenlivý",Character!D$11:D$15,0))&lt;&gt;16),-1,0)+IF(AND(OR(MOD(C16,2)&lt;&gt;0,AND(Character!$C$4="Člověk", MOD(E16,2)&lt;&gt;0)),IF(Character!$C$4="Člověk",INT(E16*1.5),E16)=C16),0.5,MAX(INT((C16+IF(Character!$C$4="Člověk",E16*1.5,E16))/C16)-1,0.5)))</f>
        <v/>
      </c>
      <c r="G16" s="449"/>
      <c r="H16" s="197" t="str">
        <f>IF(B16="","",IF(AND(Character!C$4="Barbar",B16="Utužování"),10,IF(AND(Character!C$4="Lesní elf",B16="Cvičení zvířat"),10,IF(AND(Character!C$4="Temný elf",B16="Plížení"),10,IF(AND(Character!C$4="Trpaslík",OR(B16="Utužování",B16="Potlačení bolesti")),20,IF(Character!C$4="Gnóm",IF(B16="Stopování",50,IF(OR(B16="Znalost zbraní",B16="Odhad ceny"),75,0)),IF(AND(Character!C$4="Hobit",OR(B16="Akrobacie",B16="Plížení",B16="Otevírání zámků",B16="Odstranění pasti")),10,IF(AND(Character!C$4="Kobold",B16="Stopování"),10,0)))))))+IF(AND(B16="Zpěv",TYPE(MATCH("Pěvec",Character!D$11:D$15,0))&lt;&gt;16),20,0)+IF(AND(OR(B16="Utužování",B16="Potlačení bolesti"),TYPE(MATCH("Tvrdá nátura",Character!D$11:D$15,0))&lt;&gt;16),20,0)+IF(AND(B16="Svádění",TYPE(MATCH("Svůdce",Character!D$11:D$15,0))&lt;&gt;16),20,0)+IF(AND(B16="Vnímavost",TYPE(MATCH("Akční hoch",Character!D$11:D$15,0))&lt;&gt;16),20,0)+IF(AND(B16="Vnímavost",TYPE(MATCH("Bystrozraký",Character!D$11:D$15,0))&lt;&gt;16),20,0)+IF(AND(B16="Plížení",TYPE(MATCH("Tichošlápek",Character!D$11:D$15,0))&lt;&gt;16),20,0)+IF(AND(OR(B16="Kradení",B16="Fixlování",B16="Kovářství",B16="Odstranění pasti",B16="Otevírání zámků",B16="Padělání",B16="Šití",B16="Tesařství a truhlářství"),TYPE(MATCH("Šikula",Character!D$11:D$15,0))&lt;&gt;16),10,0)+IF(AND(OR(B16="Zastraš nemrtvé",B16="Zastraš démony"),TYPE(MATCH("Exorcista",Character!D$11:D$15,0))&lt;&gt;16),20,0)+IF(AND(B16="Navigace",TYPE(MATCH("Světaznalý",Character!D$11:D$15,0))&lt;&gt;16),20,0)+IF(AND(OR(B16="Fixlování",B16="Kradení",B16="Převleky"),TYPE(MATCH("Herec",Character!D$11:D$15,0))&lt;&gt;16),15,0)+IF(AND(OR(B16="Přesvědčování",B16="Zastraš draky",B16="Zastraš lykantropy"),TYPE(MATCH("Řečník",Character!D$11:D$15,0))&lt;&gt;16),15,0)+IF(AND(OR(B16="Hra na hudební nástroj - strunné",B16="Hra na hudební nástroj - dechové",B16="Hra na hudební nástroj - bicí"),TYPE(MATCH("Hudebník",Character!D$11:D$15,0))&lt;&gt;16),20,0)+IF(AND(B16="Znalost rostlin",TYPE(MATCH("Botanik",Character!D$11:D$15,0))&lt;&gt;16),20,0)+IF(AND(B16="Detekce magie",TYPE(MATCH("Alergie na magii",Character!D$11:D$15,0))&lt;&gt;16),50,0)+IF(AND(OR(B16="Převleky",B16="Fixlování"),TYPE(MATCH("Podvodník",Character!D$11:D$15,0))&lt;&gt;16),30,0))</f>
        <v/>
      </c>
      <c r="I16" s="344" t="str">
        <f>IF(C16="","",IF(Stats!D$9="OK",0,IF(Stats!D$9="Mírně unavená",-5,IF(Stats!D$9="Unavená",-15,IF(Stats!D$9="Silně unavená",-30,IF(Stats!D$9="Vyčerpaná",-MAX(40,(C16+H16+E16)/2),"-----")))))+Combat!AF$13+Combat!AG$14)</f>
        <v/>
      </c>
      <c r="J16" s="373" t="str">
        <f>IF(C16="","",(C16+H16+IF(Character!C$4="Člověk",1.5*E16,E16)+I16)/IF(B16="Akrobacie",CHOOSE(MAX(Combat!AF$1:AF$5)+1,1,1,1,2,4,8),1)/IF(TYPE(MATCH("Nenávist bohů",Character!D$11:D$15,0))&lt;&gt;16,2,1)&amp;"%")</f>
        <v/>
      </c>
      <c r="K16" s="365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</row>
    <row r="17" spans="2:312">
      <c r="B17" s="9"/>
      <c r="C17" s="197" t="str">
        <f>IF(B17&lt;&gt;"",VLOOKUP(B17,'Perks &amp; Skills'!B$69:D$170,2),"")</f>
        <v/>
      </c>
      <c r="D17" s="197" t="str">
        <f>IF(B17&lt;&gt;"",VLOOKUP(B17,'Perks &amp; Skills'!B$69:D$170,3),"")</f>
        <v/>
      </c>
      <c r="E17" s="296"/>
      <c r="F17" s="450" t="str">
        <f>IF(C17="","",IF(AND(IF(AND(OR(MOD(C17,2)&lt;&gt;0,AND(Character!$C$4="Člověk", MOD(E17,2)&lt;&gt;0)),IF(Character!$C$4="Člověk",INT(E17*1.5),E17)=C17),0.5,MAX(INT((C17+IF(Character!$C$4="Člověk",E17*1.5,E17))/C17)-1,0.5))&gt;1,TYPE(MATCH("Učenlivý",Character!D$11:D$15,0))&lt;&gt;16),-1,0)+IF(AND(OR(MOD(C17,2)&lt;&gt;0,AND(Character!$C$4="Člověk", MOD(E17,2)&lt;&gt;0)),IF(Character!$C$4="Člověk",INT(E17*1.5),E17)=C17),0.5,MAX(INT((C17+IF(Character!$C$4="Člověk",E17*1.5,E17))/C17)-1,0.5)))</f>
        <v/>
      </c>
      <c r="G17" s="449"/>
      <c r="H17" s="197" t="str">
        <f>IF(B17="","",IF(AND(Character!C$4="Barbar",B17="Utužování"),10,IF(AND(Character!C$4="Lesní elf",B17="Cvičení zvířat"),10,IF(AND(Character!C$4="Temný elf",B17="Plížení"),10,IF(AND(Character!C$4="Trpaslík",OR(B17="Utužování",B17="Potlačení bolesti")),20,IF(Character!C$4="Gnóm",IF(B17="Stopování",50,IF(OR(B17="Znalost zbraní",B17="Odhad ceny"),75,0)),IF(AND(Character!C$4="Hobit",OR(B17="Akrobacie",B17="Plížení",B17="Otevírání zámků",B17="Odstranění pasti")),10,IF(AND(Character!C$4="Kobold",B17="Stopování"),10,0)))))))+IF(AND(B17="Zpěv",TYPE(MATCH("Pěvec",Character!D$11:D$15,0))&lt;&gt;16),20,0)+IF(AND(OR(B17="Utužování",B17="Potlačení bolesti"),TYPE(MATCH("Tvrdá nátura",Character!D$11:D$15,0))&lt;&gt;16),20,0)+IF(AND(B17="Svádění",TYPE(MATCH("Svůdce",Character!D$11:D$15,0))&lt;&gt;16),20,0)+IF(AND(B17="Vnímavost",TYPE(MATCH("Akční hoch",Character!D$11:D$15,0))&lt;&gt;16),20,0)+IF(AND(B17="Vnímavost",TYPE(MATCH("Bystrozraký",Character!D$11:D$15,0))&lt;&gt;16),20,0)+IF(AND(B17="Plížení",TYPE(MATCH("Tichošlápek",Character!D$11:D$15,0))&lt;&gt;16),20,0)+IF(AND(OR(B17="Kradení",B17="Fixlování",B17="Kovářství",B17="Odstranění pasti",B17="Otevírání zámků",B17="Padělání",B17="Šití",B17="Tesařství a truhlářství"),TYPE(MATCH("Šikula",Character!D$11:D$15,0))&lt;&gt;16),10,0)+IF(AND(OR(B17="Zastraš nemrtvé",B17="Zastraš démony"),TYPE(MATCH("Exorcista",Character!D$11:D$15,0))&lt;&gt;16),20,0)+IF(AND(B17="Navigace",TYPE(MATCH("Světaznalý",Character!D$11:D$15,0))&lt;&gt;16),20,0)+IF(AND(OR(B17="Fixlování",B17="Kradení",B17="Převleky"),TYPE(MATCH("Herec",Character!D$11:D$15,0))&lt;&gt;16),15,0)+IF(AND(OR(B17="Přesvědčování",B17="Zastraš draky",B17="Zastraš lykantropy"),TYPE(MATCH("Řečník",Character!D$11:D$15,0))&lt;&gt;16),15,0)+IF(AND(OR(B17="Hra na hudební nástroj - strunné",B17="Hra na hudební nástroj - dechové",B17="Hra na hudební nástroj - bicí"),TYPE(MATCH("Hudebník",Character!D$11:D$15,0))&lt;&gt;16),20,0)+IF(AND(B17="Znalost rostlin",TYPE(MATCH("Botanik",Character!D$11:D$15,0))&lt;&gt;16),20,0)+IF(AND(B17="Detekce magie",TYPE(MATCH("Alergie na magii",Character!D$11:D$15,0))&lt;&gt;16),50,0)+IF(AND(OR(B17="Převleky",B17="Fixlování"),TYPE(MATCH("Podvodník",Character!D$11:D$15,0))&lt;&gt;16),30,0))</f>
        <v/>
      </c>
      <c r="I17" s="344" t="str">
        <f>IF(C17="","",IF(Stats!D$9="OK",0,IF(Stats!D$9="Mírně unavená",-5,IF(Stats!D$9="Unavená",-15,IF(Stats!D$9="Silně unavená",-30,IF(Stats!D$9="Vyčerpaná",-MAX(40,(C17+H17+E17)/2),"-----")))))+Combat!AF$13+Combat!AG$14)</f>
        <v/>
      </c>
      <c r="J17" s="373" t="str">
        <f>IF(C17="","",(C17+H17+IF(Character!C$4="Člověk",1.5*E17,E17)+I17)/IF(B17="Akrobacie",CHOOSE(MAX(Combat!AF$1:AF$5)+1,1,1,1,2,4,8),1)/IF(TYPE(MATCH("Nenávist bohů",Character!D$11:D$15,0))&lt;&gt;16,2,1)&amp;"%")</f>
        <v/>
      </c>
      <c r="K17" s="365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</row>
    <row r="18" spans="2:312">
      <c r="B18" s="9"/>
      <c r="C18" s="197" t="str">
        <f>IF(B18&lt;&gt;"",VLOOKUP(B18,'Perks &amp; Skills'!B$69:D$170,2),"")</f>
        <v/>
      </c>
      <c r="D18" s="197" t="str">
        <f>IF(B18&lt;&gt;"",VLOOKUP(B18,'Perks &amp; Skills'!B$69:D$170,3),"")</f>
        <v/>
      </c>
      <c r="E18" s="296"/>
      <c r="F18" s="450" t="str">
        <f>IF(C18="","",IF(AND(IF(AND(OR(MOD(C18,2)&lt;&gt;0,AND(Character!$C$4="Člověk", MOD(E18,2)&lt;&gt;0)),IF(Character!$C$4="Člověk",INT(E18*1.5),E18)=C18),0.5,MAX(INT((C18+IF(Character!$C$4="Člověk",E18*1.5,E18))/C18)-1,0.5))&gt;1,TYPE(MATCH("Učenlivý",Character!D$11:D$15,0))&lt;&gt;16),-1,0)+IF(AND(OR(MOD(C18,2)&lt;&gt;0,AND(Character!$C$4="Člověk", MOD(E18,2)&lt;&gt;0)),IF(Character!$C$4="Člověk",INT(E18*1.5),E18)=C18),0.5,MAX(INT((C18+IF(Character!$C$4="Člověk",E18*1.5,E18))/C18)-1,0.5)))</f>
        <v/>
      </c>
      <c r="G18" s="449"/>
      <c r="H18" s="197" t="str">
        <f>IF(B18="","",IF(AND(Character!C$4="Barbar",B18="Utužování"),10,IF(AND(Character!C$4="Lesní elf",B18="Cvičení zvířat"),10,IF(AND(Character!C$4="Temný elf",B18="Plížení"),10,IF(AND(Character!C$4="Trpaslík",OR(B18="Utužování",B18="Potlačení bolesti")),20,IF(Character!C$4="Gnóm",IF(B18="Stopování",50,IF(OR(B18="Znalost zbraní",B18="Odhad ceny"),75,0)),IF(AND(Character!C$4="Hobit",OR(B18="Akrobacie",B18="Plížení",B18="Otevírání zámků",B18="Odstranění pasti")),10,IF(AND(Character!C$4="Kobold",B18="Stopování"),10,0)))))))+IF(AND(B18="Zpěv",TYPE(MATCH("Pěvec",Character!D$11:D$15,0))&lt;&gt;16),20,0)+IF(AND(OR(B18="Utužování",B18="Potlačení bolesti"),TYPE(MATCH("Tvrdá nátura",Character!D$11:D$15,0))&lt;&gt;16),20,0)+IF(AND(B18="Svádění",TYPE(MATCH("Svůdce",Character!D$11:D$15,0))&lt;&gt;16),20,0)+IF(AND(B18="Vnímavost",TYPE(MATCH("Akční hoch",Character!D$11:D$15,0))&lt;&gt;16),20,0)+IF(AND(B18="Vnímavost",TYPE(MATCH("Bystrozraký",Character!D$11:D$15,0))&lt;&gt;16),20,0)+IF(AND(B18="Plížení",TYPE(MATCH("Tichošlápek",Character!D$11:D$15,0))&lt;&gt;16),20,0)+IF(AND(OR(B18="Kradení",B18="Fixlování",B18="Kovářství",B18="Odstranění pasti",B18="Otevírání zámků",B18="Padělání",B18="Šití",B18="Tesařství a truhlářství"),TYPE(MATCH("Šikula",Character!D$11:D$15,0))&lt;&gt;16),10,0)+IF(AND(OR(B18="Zastraš nemrtvé",B18="Zastraš démony"),TYPE(MATCH("Exorcista",Character!D$11:D$15,0))&lt;&gt;16),20,0)+IF(AND(B18="Navigace",TYPE(MATCH("Světaznalý",Character!D$11:D$15,0))&lt;&gt;16),20,0)+IF(AND(OR(B18="Fixlování",B18="Kradení",B18="Převleky"),TYPE(MATCH("Herec",Character!D$11:D$15,0))&lt;&gt;16),15,0)+IF(AND(OR(B18="Přesvědčování",B18="Zastraš draky",B18="Zastraš lykantropy"),TYPE(MATCH("Řečník",Character!D$11:D$15,0))&lt;&gt;16),15,0)+IF(AND(OR(B18="Hra na hudební nástroj - strunné",B18="Hra na hudební nástroj - dechové",B18="Hra na hudební nástroj - bicí"),TYPE(MATCH("Hudebník",Character!D$11:D$15,0))&lt;&gt;16),20,0)+IF(AND(B18="Znalost rostlin",TYPE(MATCH("Botanik",Character!D$11:D$15,0))&lt;&gt;16),20,0)+IF(AND(B18="Detekce magie",TYPE(MATCH("Alergie na magii",Character!D$11:D$15,0))&lt;&gt;16),50,0)+IF(AND(OR(B18="Převleky",B18="Fixlování"),TYPE(MATCH("Podvodník",Character!D$11:D$15,0))&lt;&gt;16),30,0))</f>
        <v/>
      </c>
      <c r="I18" s="344" t="str">
        <f>IF(C18="","",IF(Stats!D$9="OK",0,IF(Stats!D$9="Mírně unavená",-5,IF(Stats!D$9="Unavená",-15,IF(Stats!D$9="Silně unavená",-30,IF(Stats!D$9="Vyčerpaná",-MAX(40,(C18+H18+E18)/2),"-----")))))+Combat!AF$13+Combat!AG$14)</f>
        <v/>
      </c>
      <c r="J18" s="373" t="str">
        <f>IF(C18="","",(C18+H18+IF(Character!C$4="Člověk",1.5*E18,E18)+I18)/IF(B18="Akrobacie",CHOOSE(MAX(Combat!AF$1:AF$5)+1,1,1,1,2,4,8),1)/IF(TYPE(MATCH("Nenávist bohů",Character!D$11:D$15,0))&lt;&gt;16,2,1)&amp;"%")</f>
        <v/>
      </c>
      <c r="K18" s="365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</row>
    <row r="19" spans="2:312">
      <c r="B19" s="9"/>
      <c r="C19" s="197" t="str">
        <f>IF(B19&lt;&gt;"",VLOOKUP(B19,'Perks &amp; Skills'!B$69:D$170,2),"")</f>
        <v/>
      </c>
      <c r="D19" s="197" t="str">
        <f>IF(B19&lt;&gt;"",VLOOKUP(B19,'Perks &amp; Skills'!B$69:D$170,3),"")</f>
        <v/>
      </c>
      <c r="E19" s="296"/>
      <c r="F19" s="450" t="str">
        <f>IF(C19="","",IF(AND(IF(AND(OR(MOD(C19,2)&lt;&gt;0,AND(Character!$C$4="Člověk", MOD(E19,2)&lt;&gt;0)),IF(Character!$C$4="Člověk",INT(E19*1.5),E19)=C19),0.5,MAX(INT((C19+IF(Character!$C$4="Člověk",E19*1.5,E19))/C19)-1,0.5))&gt;1,TYPE(MATCH("Učenlivý",Character!D$11:D$15,0))&lt;&gt;16),-1,0)+IF(AND(OR(MOD(C19,2)&lt;&gt;0,AND(Character!$C$4="Člověk", MOD(E19,2)&lt;&gt;0)),IF(Character!$C$4="Člověk",INT(E19*1.5),E19)=C19),0.5,MAX(INT((C19+IF(Character!$C$4="Člověk",E19*1.5,E19))/C19)-1,0.5)))</f>
        <v/>
      </c>
      <c r="G19" s="449"/>
      <c r="H19" s="197" t="str">
        <f>IF(B19="","",IF(AND(Character!C$4="Barbar",B19="Utužování"),10,IF(AND(Character!C$4="Lesní elf",B19="Cvičení zvířat"),10,IF(AND(Character!C$4="Temný elf",B19="Plížení"),10,IF(AND(Character!C$4="Trpaslík",OR(B19="Utužování",B19="Potlačení bolesti")),20,IF(Character!C$4="Gnóm",IF(B19="Stopování",50,IF(OR(B19="Znalost zbraní",B19="Odhad ceny"),75,0)),IF(AND(Character!C$4="Hobit",OR(B19="Akrobacie",B19="Plížení",B19="Otevírání zámků",B19="Odstranění pasti")),10,IF(AND(Character!C$4="Kobold",B19="Stopování"),10,0)))))))+IF(AND(B19="Zpěv",TYPE(MATCH("Pěvec",Character!D$11:D$15,0))&lt;&gt;16),20,0)+IF(AND(OR(B19="Utužování",B19="Potlačení bolesti"),TYPE(MATCH("Tvrdá nátura",Character!D$11:D$15,0))&lt;&gt;16),20,0)+IF(AND(B19="Svádění",TYPE(MATCH("Svůdce",Character!D$11:D$15,0))&lt;&gt;16),20,0)+IF(AND(B19="Vnímavost",TYPE(MATCH("Akční hoch",Character!D$11:D$15,0))&lt;&gt;16),20,0)+IF(AND(B19="Vnímavost",TYPE(MATCH("Bystrozraký",Character!D$11:D$15,0))&lt;&gt;16),20,0)+IF(AND(B19="Plížení",TYPE(MATCH("Tichošlápek",Character!D$11:D$15,0))&lt;&gt;16),20,0)+IF(AND(OR(B19="Kradení",B19="Fixlování",B19="Kovářství",B19="Odstranění pasti",B19="Otevírání zámků",B19="Padělání",B19="Šití",B19="Tesařství a truhlářství"),TYPE(MATCH("Šikula",Character!D$11:D$15,0))&lt;&gt;16),10,0)+IF(AND(OR(B19="Zastraš nemrtvé",B19="Zastraš démony"),TYPE(MATCH("Exorcista",Character!D$11:D$15,0))&lt;&gt;16),20,0)+IF(AND(B19="Navigace",TYPE(MATCH("Světaznalý",Character!D$11:D$15,0))&lt;&gt;16),20,0)+IF(AND(OR(B19="Fixlování",B19="Kradení",B19="Převleky"),TYPE(MATCH("Herec",Character!D$11:D$15,0))&lt;&gt;16),15,0)+IF(AND(OR(B19="Přesvědčování",B19="Zastraš draky",B19="Zastraš lykantropy"),TYPE(MATCH("Řečník",Character!D$11:D$15,0))&lt;&gt;16),15,0)+IF(AND(OR(B19="Hra na hudební nástroj - strunné",B19="Hra na hudební nástroj - dechové",B19="Hra na hudební nástroj - bicí"),TYPE(MATCH("Hudebník",Character!D$11:D$15,0))&lt;&gt;16),20,0)+IF(AND(B19="Znalost rostlin",TYPE(MATCH("Botanik",Character!D$11:D$15,0))&lt;&gt;16),20,0)+IF(AND(B19="Detekce magie",TYPE(MATCH("Alergie na magii",Character!D$11:D$15,0))&lt;&gt;16),50,0)+IF(AND(OR(B19="Převleky",B19="Fixlování"),TYPE(MATCH("Podvodník",Character!D$11:D$15,0))&lt;&gt;16),30,0))</f>
        <v/>
      </c>
      <c r="I19" s="344" t="str">
        <f>IF(C19="","",IF(Stats!D$9="OK",0,IF(Stats!D$9="Mírně unavená",-5,IF(Stats!D$9="Unavená",-15,IF(Stats!D$9="Silně unavená",-30,IF(Stats!D$9="Vyčerpaná",-MAX(40,(C19+H19+E19)/2),"-----")))))+Combat!AF$13+Combat!AG$14)</f>
        <v/>
      </c>
      <c r="J19" s="373" t="str">
        <f>IF(C19="","",(C19+H19+IF(Character!C$4="Člověk",1.5*E19,E19)+I19)/IF(B19="Akrobacie",CHOOSE(MAX(Combat!AF$1:AF$5)+1,1,1,1,2,4,8),1)/IF(TYPE(MATCH("Nenávist bohů",Character!D$11:D$15,0))&lt;&gt;16,2,1)&amp;"%")</f>
        <v/>
      </c>
      <c r="K19" s="365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</row>
    <row r="20" spans="2:312">
      <c r="B20" s="9"/>
      <c r="C20" s="197" t="str">
        <f>IF(B20&lt;&gt;"",VLOOKUP(B20,'Perks &amp; Skills'!B$69:D$170,2),"")</f>
        <v/>
      </c>
      <c r="D20" s="197" t="str">
        <f>IF(B20&lt;&gt;"",VLOOKUP(B20,'Perks &amp; Skills'!B$69:D$170,3),"")</f>
        <v/>
      </c>
      <c r="E20" s="296"/>
      <c r="F20" s="450" t="str">
        <f>IF(C20="","",IF(AND(IF(AND(OR(MOD(C20,2)&lt;&gt;0,AND(Character!$C$4="Člověk", MOD(E20,2)&lt;&gt;0)),IF(Character!$C$4="Člověk",INT(E20*1.5),E20)=C20),0.5,MAX(INT((C20+IF(Character!$C$4="Člověk",E20*1.5,E20))/C20)-1,0.5))&gt;1,TYPE(MATCH("Učenlivý",Character!D$11:D$15,0))&lt;&gt;16),-1,0)+IF(AND(OR(MOD(C20,2)&lt;&gt;0,AND(Character!$C$4="Člověk", MOD(E20,2)&lt;&gt;0)),IF(Character!$C$4="Člověk",INT(E20*1.5),E20)=C20),0.5,MAX(INT((C20+IF(Character!$C$4="Člověk",E20*1.5,E20))/C20)-1,0.5)))</f>
        <v/>
      </c>
      <c r="G20" s="449"/>
      <c r="H20" s="197" t="str">
        <f>IF(B20="","",IF(AND(Character!C$4="Barbar",B20="Utužování"),10,IF(AND(Character!C$4="Lesní elf",B20="Cvičení zvířat"),10,IF(AND(Character!C$4="Temný elf",B20="Plížení"),10,IF(AND(Character!C$4="Trpaslík",OR(B20="Utužování",B20="Potlačení bolesti")),20,IF(Character!C$4="Gnóm",IF(B20="Stopování",50,IF(OR(B20="Znalost zbraní",B20="Odhad ceny"),75,0)),IF(AND(Character!C$4="Hobit",OR(B20="Akrobacie",B20="Plížení",B20="Otevírání zámků",B20="Odstranění pasti")),10,IF(AND(Character!C$4="Kobold",B20="Stopování"),10,0)))))))+IF(AND(B20="Zpěv",TYPE(MATCH("Pěvec",Character!D$11:D$15,0))&lt;&gt;16),20,0)+IF(AND(OR(B20="Utužování",B20="Potlačení bolesti"),TYPE(MATCH("Tvrdá nátura",Character!D$11:D$15,0))&lt;&gt;16),20,0)+IF(AND(B20="Svádění",TYPE(MATCH("Svůdce",Character!D$11:D$15,0))&lt;&gt;16),20,0)+IF(AND(B20="Vnímavost",TYPE(MATCH("Akční hoch",Character!D$11:D$15,0))&lt;&gt;16),20,0)+IF(AND(B20="Vnímavost",TYPE(MATCH("Bystrozraký",Character!D$11:D$15,0))&lt;&gt;16),20,0)+IF(AND(B20="Plížení",TYPE(MATCH("Tichošlápek",Character!D$11:D$15,0))&lt;&gt;16),20,0)+IF(AND(OR(B20="Kradení",B20="Fixlování",B20="Kovářství",B20="Odstranění pasti",B20="Otevírání zámků",B20="Padělání",B20="Šití",B20="Tesařství a truhlářství"),TYPE(MATCH("Šikula",Character!D$11:D$15,0))&lt;&gt;16),10,0)+IF(AND(OR(B20="Zastraš nemrtvé",B20="Zastraš démony"),TYPE(MATCH("Exorcista",Character!D$11:D$15,0))&lt;&gt;16),20,0)+IF(AND(B20="Navigace",TYPE(MATCH("Světaznalý",Character!D$11:D$15,0))&lt;&gt;16),20,0)+IF(AND(OR(B20="Fixlování",B20="Kradení",B20="Převleky"),TYPE(MATCH("Herec",Character!D$11:D$15,0))&lt;&gt;16),15,0)+IF(AND(OR(B20="Přesvědčování",B20="Zastraš draky",B20="Zastraš lykantropy"),TYPE(MATCH("Řečník",Character!D$11:D$15,0))&lt;&gt;16),15,0)+IF(AND(OR(B20="Hra na hudební nástroj - strunné",B20="Hra na hudební nástroj - dechové",B20="Hra na hudební nástroj - bicí"),TYPE(MATCH("Hudebník",Character!D$11:D$15,0))&lt;&gt;16),20,0)+IF(AND(B20="Znalost rostlin",TYPE(MATCH("Botanik",Character!D$11:D$15,0))&lt;&gt;16),20,0)+IF(AND(B20="Detekce magie",TYPE(MATCH("Alergie na magii",Character!D$11:D$15,0))&lt;&gt;16),50,0)+IF(AND(OR(B20="Převleky",B20="Fixlování"),TYPE(MATCH("Podvodník",Character!D$11:D$15,0))&lt;&gt;16),30,0))</f>
        <v/>
      </c>
      <c r="I20" s="344" t="str">
        <f>IF(C20="","",IF(Stats!D$9="OK",0,IF(Stats!D$9="Mírně unavená",-5,IF(Stats!D$9="Unavená",-15,IF(Stats!D$9="Silně unavená",-30,IF(Stats!D$9="Vyčerpaná",-MAX(40,(C20+H20+E20)/2),"-----")))))+Combat!AF$13+Combat!AG$14)</f>
        <v/>
      </c>
      <c r="J20" s="373" t="str">
        <f>IF(C20="","",(C20+H20+IF(Character!C$4="Člověk",1.5*E20,E20)+I20)/IF(B20="Akrobacie",CHOOSE(MAX(Combat!AF$1:AF$5)+1,1,1,1,2,4,8),1)/IF(TYPE(MATCH("Nenávist bohů",Character!D$11:D$15,0))&lt;&gt;16,2,1)&amp;"%")</f>
        <v/>
      </c>
      <c r="K20" s="365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</row>
    <row r="21" spans="2:312">
      <c r="B21" s="9"/>
      <c r="C21" s="197" t="str">
        <f>IF(B21&lt;&gt;"",VLOOKUP(B21,'Perks &amp; Skills'!B$69:D$170,2),"")</f>
        <v/>
      </c>
      <c r="D21" s="197" t="str">
        <f>IF(B21&lt;&gt;"",VLOOKUP(B21,'Perks &amp; Skills'!B$69:D$170,3),"")</f>
        <v/>
      </c>
      <c r="E21" s="296"/>
      <c r="F21" s="450" t="str">
        <f>IF(C21="","",IF(AND(IF(AND(OR(MOD(C21,2)&lt;&gt;0,AND(Character!$C$4="Člověk", MOD(E21,2)&lt;&gt;0)),IF(Character!$C$4="Člověk",INT(E21*1.5),E21)=C21),0.5,MAX(INT((C21+IF(Character!$C$4="Člověk",E21*1.5,E21))/C21)-1,0.5))&gt;1,TYPE(MATCH("Učenlivý",Character!D$11:D$15,0))&lt;&gt;16),-1,0)+IF(AND(OR(MOD(C21,2)&lt;&gt;0,AND(Character!$C$4="Člověk", MOD(E21,2)&lt;&gt;0)),IF(Character!$C$4="Člověk",INT(E21*1.5),E21)=C21),0.5,MAX(INT((C21+IF(Character!$C$4="Člověk",E21*1.5,E21))/C21)-1,0.5)))</f>
        <v/>
      </c>
      <c r="G21" s="449"/>
      <c r="H21" s="197" t="str">
        <f>IF(B21="","",IF(AND(Character!C$4="Barbar",B21="Utužování"),10,IF(AND(Character!C$4="Lesní elf",B21="Cvičení zvířat"),10,IF(AND(Character!C$4="Temný elf",B21="Plížení"),10,IF(AND(Character!C$4="Trpaslík",OR(B21="Utužování",B21="Potlačení bolesti")),20,IF(Character!C$4="Gnóm",IF(B21="Stopování",50,IF(OR(B21="Znalost zbraní",B21="Odhad ceny"),75,0)),IF(AND(Character!C$4="Hobit",OR(B21="Akrobacie",B21="Plížení",B21="Otevírání zámků",B21="Odstranění pasti")),10,IF(AND(Character!C$4="Kobold",B21="Stopování"),10,0)))))))+IF(AND(B21="Zpěv",TYPE(MATCH("Pěvec",Character!D$11:D$15,0))&lt;&gt;16),20,0)+IF(AND(OR(B21="Utužování",B21="Potlačení bolesti"),TYPE(MATCH("Tvrdá nátura",Character!D$11:D$15,0))&lt;&gt;16),20,0)+IF(AND(B21="Svádění",TYPE(MATCH("Svůdce",Character!D$11:D$15,0))&lt;&gt;16),20,0)+IF(AND(B21="Vnímavost",TYPE(MATCH("Akční hoch",Character!D$11:D$15,0))&lt;&gt;16),20,0)+IF(AND(B21="Vnímavost",TYPE(MATCH("Bystrozraký",Character!D$11:D$15,0))&lt;&gt;16),20,0)+IF(AND(B21="Plížení",TYPE(MATCH("Tichošlápek",Character!D$11:D$15,0))&lt;&gt;16),20,0)+IF(AND(OR(B21="Kradení",B21="Fixlování",B21="Kovářství",B21="Odstranění pasti",B21="Otevírání zámků",B21="Padělání",B21="Šití",B21="Tesařství a truhlářství"),TYPE(MATCH("Šikula",Character!D$11:D$15,0))&lt;&gt;16),10,0)+IF(AND(OR(B21="Zastraš nemrtvé",B21="Zastraš démony"),TYPE(MATCH("Exorcista",Character!D$11:D$15,0))&lt;&gt;16),20,0)+IF(AND(B21="Navigace",TYPE(MATCH("Světaznalý",Character!D$11:D$15,0))&lt;&gt;16),20,0)+IF(AND(OR(B21="Fixlování",B21="Kradení",B21="Převleky"),TYPE(MATCH("Herec",Character!D$11:D$15,0))&lt;&gt;16),15,0)+IF(AND(OR(B21="Přesvědčování",B21="Zastraš draky",B21="Zastraš lykantropy"),TYPE(MATCH("Řečník",Character!D$11:D$15,0))&lt;&gt;16),15,0)+IF(AND(OR(B21="Hra na hudební nástroj - strunné",B21="Hra na hudební nástroj - dechové",B21="Hra na hudební nástroj - bicí"),TYPE(MATCH("Hudebník",Character!D$11:D$15,0))&lt;&gt;16),20,0)+IF(AND(B21="Znalost rostlin",TYPE(MATCH("Botanik",Character!D$11:D$15,0))&lt;&gt;16),20,0)+IF(AND(B21="Detekce magie",TYPE(MATCH("Alergie na magii",Character!D$11:D$15,0))&lt;&gt;16),50,0)+IF(AND(OR(B21="Převleky",B21="Fixlování"),TYPE(MATCH("Podvodník",Character!D$11:D$15,0))&lt;&gt;16),30,0))</f>
        <v/>
      </c>
      <c r="I21" s="344" t="str">
        <f>IF(C21="","",IF(Stats!D$9="OK",0,IF(Stats!D$9="Mírně unavená",-5,IF(Stats!D$9="Unavená",-15,IF(Stats!D$9="Silně unavená",-30,IF(Stats!D$9="Vyčerpaná",-MAX(40,(C21+H21+E21)/2),"-----")))))+Combat!AF$13+Combat!AG$14)</f>
        <v/>
      </c>
      <c r="J21" s="373" t="str">
        <f>IF(C21="","",(C21+H21+IF(Character!C$4="Člověk",1.5*E21,E21)+I21)/IF(B21="Akrobacie",CHOOSE(MAX(Combat!AF$1:AF$5)+1,1,1,1,2,4,8),1)/IF(TYPE(MATCH("Nenávist bohů",Character!D$11:D$15,0))&lt;&gt;16,2,1)&amp;"%")</f>
        <v/>
      </c>
      <c r="K21" s="365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</row>
    <row r="22" spans="2:312">
      <c r="B22" s="9"/>
      <c r="C22" s="197" t="str">
        <f>IF(B22&lt;&gt;"",VLOOKUP(B22,'Perks &amp; Skills'!B$69:D$170,2),"")</f>
        <v/>
      </c>
      <c r="D22" s="197" t="str">
        <f>IF(B22&lt;&gt;"",VLOOKUP(B22,'Perks &amp; Skills'!B$69:D$170,3),"")</f>
        <v/>
      </c>
      <c r="E22" s="296"/>
      <c r="F22" s="450" t="str">
        <f>IF(C22="","",IF(AND(IF(AND(OR(MOD(C22,2)&lt;&gt;0,AND(Character!$C$4="Člověk", MOD(E22,2)&lt;&gt;0)),IF(Character!$C$4="Člověk",INT(E22*1.5),E22)=C22),0.5,MAX(INT((C22+IF(Character!$C$4="Člověk",E22*1.5,E22))/C22)-1,0.5))&gt;1,TYPE(MATCH("Učenlivý",Character!D$11:D$15,0))&lt;&gt;16),-1,0)+IF(AND(OR(MOD(C22,2)&lt;&gt;0,AND(Character!$C$4="Člověk", MOD(E22,2)&lt;&gt;0)),IF(Character!$C$4="Člověk",INT(E22*1.5),E22)=C22),0.5,MAX(INT((C22+IF(Character!$C$4="Člověk",E22*1.5,E22))/C22)-1,0.5)))</f>
        <v/>
      </c>
      <c r="G22" s="449"/>
      <c r="H22" s="197" t="str">
        <f>IF(B22="","",IF(AND(Character!C$4="Barbar",B22="Utužování"),10,IF(AND(Character!C$4="Lesní elf",B22="Cvičení zvířat"),10,IF(AND(Character!C$4="Temný elf",B22="Plížení"),10,IF(AND(Character!C$4="Trpaslík",OR(B22="Utužování",B22="Potlačení bolesti")),20,IF(Character!C$4="Gnóm",IF(B22="Stopování",50,IF(OR(B22="Znalost zbraní",B22="Odhad ceny"),75,0)),IF(AND(Character!C$4="Hobit",OR(B22="Akrobacie",B22="Plížení",B22="Otevírání zámků",B22="Odstranění pasti")),10,IF(AND(Character!C$4="Kobold",B22="Stopování"),10,0)))))))+IF(AND(B22="Zpěv",TYPE(MATCH("Pěvec",Character!D$11:D$15,0))&lt;&gt;16),20,0)+IF(AND(OR(B22="Utužování",B22="Potlačení bolesti"),TYPE(MATCH("Tvrdá nátura",Character!D$11:D$15,0))&lt;&gt;16),20,0)+IF(AND(B22="Svádění",TYPE(MATCH("Svůdce",Character!D$11:D$15,0))&lt;&gt;16),20,0)+IF(AND(B22="Vnímavost",TYPE(MATCH("Akční hoch",Character!D$11:D$15,0))&lt;&gt;16),20,0)+IF(AND(B22="Vnímavost",TYPE(MATCH("Bystrozraký",Character!D$11:D$15,0))&lt;&gt;16),20,0)+IF(AND(B22="Plížení",TYPE(MATCH("Tichošlápek",Character!D$11:D$15,0))&lt;&gt;16),20,0)+IF(AND(OR(B22="Kradení",B22="Fixlování",B22="Kovářství",B22="Odstranění pasti",B22="Otevírání zámků",B22="Padělání",B22="Šití",B22="Tesařství a truhlářství"),TYPE(MATCH("Šikula",Character!D$11:D$15,0))&lt;&gt;16),10,0)+IF(AND(OR(B22="Zastraš nemrtvé",B22="Zastraš démony"),TYPE(MATCH("Exorcista",Character!D$11:D$15,0))&lt;&gt;16),20,0)+IF(AND(B22="Navigace",TYPE(MATCH("Světaznalý",Character!D$11:D$15,0))&lt;&gt;16),20,0)+IF(AND(OR(B22="Fixlování",B22="Kradení",B22="Převleky"),TYPE(MATCH("Herec",Character!D$11:D$15,0))&lt;&gt;16),15,0)+IF(AND(OR(B22="Přesvědčování",B22="Zastraš draky",B22="Zastraš lykantropy"),TYPE(MATCH("Řečník",Character!D$11:D$15,0))&lt;&gt;16),15,0)+IF(AND(OR(B22="Hra na hudební nástroj - strunné",B22="Hra na hudební nástroj - dechové",B22="Hra na hudební nástroj - bicí"),TYPE(MATCH("Hudebník",Character!D$11:D$15,0))&lt;&gt;16),20,0)+IF(AND(B22="Znalost rostlin",TYPE(MATCH("Botanik",Character!D$11:D$15,0))&lt;&gt;16),20,0)+IF(AND(B22="Detekce magie",TYPE(MATCH("Alergie na magii",Character!D$11:D$15,0))&lt;&gt;16),50,0)+IF(AND(OR(B22="Převleky",B22="Fixlování"),TYPE(MATCH("Podvodník",Character!D$11:D$15,0))&lt;&gt;16),30,0))</f>
        <v/>
      </c>
      <c r="I22" s="344" t="str">
        <f>IF(C22="","",IF(Stats!D$9="OK",0,IF(Stats!D$9="Mírně unavená",-5,IF(Stats!D$9="Unavená",-15,IF(Stats!D$9="Silně unavená",-30,IF(Stats!D$9="Vyčerpaná",-MAX(40,(C22+H22+E22)/2),"-----")))))+Combat!AF$13+Combat!AG$14)</f>
        <v/>
      </c>
      <c r="J22" s="373" t="str">
        <f>IF(C22="","",(C22+H22+IF(Character!C$4="Člověk",1.5*E22,E22)+I22)/IF(B22="Akrobacie",CHOOSE(MAX(Combat!AF$1:AF$5)+1,1,1,1,2,4,8),1)/IF(TYPE(MATCH("Nenávist bohů",Character!D$11:D$15,0))&lt;&gt;16,2,1)&amp;"%")</f>
        <v/>
      </c>
      <c r="K22" s="365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</row>
    <row r="23" spans="2:312">
      <c r="B23" s="9"/>
      <c r="C23" s="197" t="str">
        <f>IF(B23&lt;&gt;"",VLOOKUP(B23,'Perks &amp; Skills'!B$69:D$170,2),"")</f>
        <v/>
      </c>
      <c r="D23" s="197" t="str">
        <f>IF(B23&lt;&gt;"",VLOOKUP(B23,'Perks &amp; Skills'!B$69:D$170,3),"")</f>
        <v/>
      </c>
      <c r="E23" s="296"/>
      <c r="F23" s="450" t="str">
        <f>IF(C23="","",IF(AND(IF(AND(OR(MOD(C23,2)&lt;&gt;0,AND(Character!$C$4="Člověk", MOD(E23,2)&lt;&gt;0)),IF(Character!$C$4="Člověk",INT(E23*1.5),E23)=C23),0.5,MAX(INT((C23+IF(Character!$C$4="Člověk",E23*1.5,E23))/C23)-1,0.5))&gt;1,TYPE(MATCH("Učenlivý",Character!D$11:D$15,0))&lt;&gt;16),-1,0)+IF(AND(OR(MOD(C23,2)&lt;&gt;0,AND(Character!$C$4="Člověk", MOD(E23,2)&lt;&gt;0)),IF(Character!$C$4="Člověk",INT(E23*1.5),E23)=C23),0.5,MAX(INT((C23+IF(Character!$C$4="Člověk",E23*1.5,E23))/C23)-1,0.5)))</f>
        <v/>
      </c>
      <c r="G23" s="449"/>
      <c r="H23" s="197" t="str">
        <f>IF(B23="","",IF(AND(Character!C$4="Barbar",B23="Utužování"),10,IF(AND(Character!C$4="Lesní elf",B23="Cvičení zvířat"),10,IF(AND(Character!C$4="Temný elf",B23="Plížení"),10,IF(AND(Character!C$4="Trpaslík",OR(B23="Utužování",B23="Potlačení bolesti")),20,IF(Character!C$4="Gnóm",IF(B23="Stopování",50,IF(OR(B23="Znalost zbraní",B23="Odhad ceny"),75,0)),IF(AND(Character!C$4="Hobit",OR(B23="Akrobacie",B23="Plížení",B23="Otevírání zámků",B23="Odstranění pasti")),10,IF(AND(Character!C$4="Kobold",B23="Stopování"),10,0)))))))+IF(AND(B23="Zpěv",TYPE(MATCH("Pěvec",Character!D$11:D$15,0))&lt;&gt;16),20,0)+IF(AND(OR(B23="Utužování",B23="Potlačení bolesti"),TYPE(MATCH("Tvrdá nátura",Character!D$11:D$15,0))&lt;&gt;16),20,0)+IF(AND(B23="Svádění",TYPE(MATCH("Svůdce",Character!D$11:D$15,0))&lt;&gt;16),20,0)+IF(AND(B23="Vnímavost",TYPE(MATCH("Akční hoch",Character!D$11:D$15,0))&lt;&gt;16),20,0)+IF(AND(B23="Vnímavost",TYPE(MATCH("Bystrozraký",Character!D$11:D$15,0))&lt;&gt;16),20,0)+IF(AND(B23="Plížení",TYPE(MATCH("Tichošlápek",Character!D$11:D$15,0))&lt;&gt;16),20,0)+IF(AND(OR(B23="Kradení",B23="Fixlování",B23="Kovářství",B23="Odstranění pasti",B23="Otevírání zámků",B23="Padělání",B23="Šití",B23="Tesařství a truhlářství"),TYPE(MATCH("Šikula",Character!D$11:D$15,0))&lt;&gt;16),10,0)+IF(AND(OR(B23="Zastraš nemrtvé",B23="Zastraš démony"),TYPE(MATCH("Exorcista",Character!D$11:D$15,0))&lt;&gt;16),20,0)+IF(AND(B23="Navigace",TYPE(MATCH("Světaznalý",Character!D$11:D$15,0))&lt;&gt;16),20,0)+IF(AND(OR(B23="Fixlování",B23="Kradení",B23="Převleky"),TYPE(MATCH("Herec",Character!D$11:D$15,0))&lt;&gt;16),15,0)+IF(AND(OR(B23="Přesvědčování",B23="Zastraš draky",B23="Zastraš lykantropy"),TYPE(MATCH("Řečník",Character!D$11:D$15,0))&lt;&gt;16),15,0)+IF(AND(OR(B23="Hra na hudební nástroj - strunné",B23="Hra na hudební nástroj - dechové",B23="Hra na hudební nástroj - bicí"),TYPE(MATCH("Hudebník",Character!D$11:D$15,0))&lt;&gt;16),20,0)+IF(AND(B23="Znalost rostlin",TYPE(MATCH("Botanik",Character!D$11:D$15,0))&lt;&gt;16),20,0)+IF(AND(B23="Detekce magie",TYPE(MATCH("Alergie na magii",Character!D$11:D$15,0))&lt;&gt;16),50,0)+IF(AND(OR(B23="Převleky",B23="Fixlování"),TYPE(MATCH("Podvodník",Character!D$11:D$15,0))&lt;&gt;16),30,0))</f>
        <v/>
      </c>
      <c r="I23" s="344" t="str">
        <f>IF(C23="","",IF(Stats!D$9="OK",0,IF(Stats!D$9="Mírně unavená",-5,IF(Stats!D$9="Unavená",-15,IF(Stats!D$9="Silně unavená",-30,IF(Stats!D$9="Vyčerpaná",-MAX(40,(C23+H23+E23)/2),"-----")))))+Combat!AF$13+Combat!AG$14)</f>
        <v/>
      </c>
      <c r="J23" s="373" t="str">
        <f>IF(C23="","",(C23+H23+IF(Character!C$4="Člověk",1.5*E23,E23)+I23)/IF(B23="Akrobacie",CHOOSE(MAX(Combat!AF$1:AF$5)+1,1,1,1,2,4,8),1)/IF(TYPE(MATCH("Nenávist bohů",Character!D$11:D$15,0))&lt;&gt;16,2,1)&amp;"%")</f>
        <v/>
      </c>
      <c r="K23" s="365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</row>
    <row r="24" spans="2:312">
      <c r="B24" s="9"/>
      <c r="C24" s="197" t="str">
        <f>IF(B24&lt;&gt;"",VLOOKUP(B24,'Perks &amp; Skills'!B$69:D$170,2),"")</f>
        <v/>
      </c>
      <c r="D24" s="197" t="str">
        <f>IF(B24&lt;&gt;"",VLOOKUP(B24,'Perks &amp; Skills'!B$69:D$170,3),"")</f>
        <v/>
      </c>
      <c r="E24" s="296"/>
      <c r="F24" s="450" t="str">
        <f>IF(C24="","",IF(AND(IF(AND(OR(MOD(C24,2)&lt;&gt;0,AND(Character!$C$4="Člověk", MOD(E24,2)&lt;&gt;0)),IF(Character!$C$4="Člověk",INT(E24*1.5),E24)=C24),0.5,MAX(INT((C24+IF(Character!$C$4="Člověk",E24*1.5,E24))/C24)-1,0.5))&gt;1,TYPE(MATCH("Učenlivý",Character!D$11:D$15,0))&lt;&gt;16),-1,0)+IF(AND(OR(MOD(C24,2)&lt;&gt;0,AND(Character!$C$4="Člověk", MOD(E24,2)&lt;&gt;0)),IF(Character!$C$4="Člověk",INT(E24*1.5),E24)=C24),0.5,MAX(INT((C24+IF(Character!$C$4="Člověk",E24*1.5,E24))/C24)-1,0.5)))</f>
        <v/>
      </c>
      <c r="G24" s="449"/>
      <c r="H24" s="197" t="str">
        <f>IF(B24="","",IF(AND(Character!C$4="Barbar",B24="Utužování"),10,IF(AND(Character!C$4="Lesní elf",B24="Cvičení zvířat"),10,IF(AND(Character!C$4="Temný elf",B24="Plížení"),10,IF(AND(Character!C$4="Trpaslík",OR(B24="Utužování",B24="Potlačení bolesti")),20,IF(Character!C$4="Gnóm",IF(B24="Stopování",50,IF(OR(B24="Znalost zbraní",B24="Odhad ceny"),75,0)),IF(AND(Character!C$4="Hobit",OR(B24="Akrobacie",B24="Plížení",B24="Otevírání zámků",B24="Odstranění pasti")),10,IF(AND(Character!C$4="Kobold",B24="Stopování"),10,0)))))))+IF(AND(B24="Zpěv",TYPE(MATCH("Pěvec",Character!D$11:D$15,0))&lt;&gt;16),20,0)+IF(AND(OR(B24="Utužování",B24="Potlačení bolesti"),TYPE(MATCH("Tvrdá nátura",Character!D$11:D$15,0))&lt;&gt;16),20,0)+IF(AND(B24="Svádění",TYPE(MATCH("Svůdce",Character!D$11:D$15,0))&lt;&gt;16),20,0)+IF(AND(B24="Vnímavost",TYPE(MATCH("Akční hoch",Character!D$11:D$15,0))&lt;&gt;16),20,0)+IF(AND(B24="Vnímavost",TYPE(MATCH("Bystrozraký",Character!D$11:D$15,0))&lt;&gt;16),20,0)+IF(AND(B24="Plížení",TYPE(MATCH("Tichošlápek",Character!D$11:D$15,0))&lt;&gt;16),20,0)+IF(AND(OR(B24="Kradení",B24="Fixlování",B24="Kovářství",B24="Odstranění pasti",B24="Otevírání zámků",B24="Padělání",B24="Šití",B24="Tesařství a truhlářství"),TYPE(MATCH("Šikula",Character!D$11:D$15,0))&lt;&gt;16),10,0)+IF(AND(OR(B24="Zastraš nemrtvé",B24="Zastraš démony"),TYPE(MATCH("Exorcista",Character!D$11:D$15,0))&lt;&gt;16),20,0)+IF(AND(B24="Navigace",TYPE(MATCH("Světaznalý",Character!D$11:D$15,0))&lt;&gt;16),20,0)+IF(AND(OR(B24="Fixlování",B24="Kradení",B24="Převleky"),TYPE(MATCH("Herec",Character!D$11:D$15,0))&lt;&gt;16),15,0)+IF(AND(OR(B24="Přesvědčování",B24="Zastraš draky",B24="Zastraš lykantropy"),TYPE(MATCH("Řečník",Character!D$11:D$15,0))&lt;&gt;16),15,0)+IF(AND(OR(B24="Hra na hudební nástroj - strunné",B24="Hra na hudební nástroj - dechové",B24="Hra na hudební nástroj - bicí"),TYPE(MATCH("Hudebník",Character!D$11:D$15,0))&lt;&gt;16),20,0)+IF(AND(B24="Znalost rostlin",TYPE(MATCH("Botanik",Character!D$11:D$15,0))&lt;&gt;16),20,0)+IF(AND(B24="Detekce magie",TYPE(MATCH("Alergie na magii",Character!D$11:D$15,0))&lt;&gt;16),50,0)+IF(AND(OR(B24="Převleky",B24="Fixlování"),TYPE(MATCH("Podvodník",Character!D$11:D$15,0))&lt;&gt;16),30,0))</f>
        <v/>
      </c>
      <c r="I24" s="344" t="str">
        <f>IF(C24="","",IF(Stats!D$9="OK",0,IF(Stats!D$9="Mírně unavená",-5,IF(Stats!D$9="Unavená",-15,IF(Stats!D$9="Silně unavená",-30,IF(Stats!D$9="Vyčerpaná",-MAX(40,(C24+H24+E24)/2),"-----")))))+Combat!AF$13+Combat!AG$14)</f>
        <v/>
      </c>
      <c r="J24" s="373" t="str">
        <f>IF(C24="","",(C24+H24+IF(Character!C$4="Člověk",1.5*E24,E24)+I24)/IF(B24="Akrobacie",CHOOSE(MAX(Combat!AF$1:AF$5)+1,1,1,1,2,4,8),1)/IF(TYPE(MATCH("Nenávist bohů",Character!D$11:D$15,0))&lt;&gt;16,2,1)&amp;"%")</f>
        <v/>
      </c>
      <c r="K24" s="365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</row>
    <row r="25" spans="2:312">
      <c r="B25" s="9"/>
      <c r="C25" s="197" t="str">
        <f>IF(B25&lt;&gt;"",VLOOKUP(B25,'Perks &amp; Skills'!B$69:D$170,2),"")</f>
        <v/>
      </c>
      <c r="D25" s="197" t="str">
        <f>IF(B25&lt;&gt;"",VLOOKUP(B25,'Perks &amp; Skills'!B$69:D$170,3),"")</f>
        <v/>
      </c>
      <c r="E25" s="296"/>
      <c r="F25" s="450" t="str">
        <f>IF(C25="","",IF(AND(IF(AND(OR(MOD(C25,2)&lt;&gt;0,AND(Character!$C$4="Člověk", MOD(E25,2)&lt;&gt;0)),IF(Character!$C$4="Člověk",INT(E25*1.5),E25)=C25),0.5,MAX(INT((C25+IF(Character!$C$4="Člověk",E25*1.5,E25))/C25)-1,0.5))&gt;1,TYPE(MATCH("Učenlivý",Character!D$11:D$15,0))&lt;&gt;16),-1,0)+IF(AND(OR(MOD(C25,2)&lt;&gt;0,AND(Character!$C$4="Člověk", MOD(E25,2)&lt;&gt;0)),IF(Character!$C$4="Člověk",INT(E25*1.5),E25)=C25),0.5,MAX(INT((C25+IF(Character!$C$4="Člověk",E25*1.5,E25))/C25)-1,0.5)))</f>
        <v/>
      </c>
      <c r="G25" s="449"/>
      <c r="H25" s="197" t="str">
        <f>IF(B25="","",IF(AND(Character!C$4="Barbar",B25="Utužování"),10,IF(AND(Character!C$4="Lesní elf",B25="Cvičení zvířat"),10,IF(AND(Character!C$4="Temný elf",B25="Plížení"),10,IF(AND(Character!C$4="Trpaslík",OR(B25="Utužování",B25="Potlačení bolesti")),20,IF(Character!C$4="Gnóm",IF(B25="Stopování",50,IF(OR(B25="Znalost zbraní",B25="Odhad ceny"),75,0)),IF(AND(Character!C$4="Hobit",OR(B25="Akrobacie",B25="Plížení",B25="Otevírání zámků",B25="Odstranění pasti")),10,IF(AND(Character!C$4="Kobold",B25="Stopování"),10,0)))))))+IF(AND(B25="Zpěv",TYPE(MATCH("Pěvec",Character!D$11:D$15,0))&lt;&gt;16),20,0)+IF(AND(OR(B25="Utužování",B25="Potlačení bolesti"),TYPE(MATCH("Tvrdá nátura",Character!D$11:D$15,0))&lt;&gt;16),20,0)+IF(AND(B25="Svádění",TYPE(MATCH("Svůdce",Character!D$11:D$15,0))&lt;&gt;16),20,0)+IF(AND(B25="Vnímavost",TYPE(MATCH("Akční hoch",Character!D$11:D$15,0))&lt;&gt;16),20,0)+IF(AND(B25="Vnímavost",TYPE(MATCH("Bystrozraký",Character!D$11:D$15,0))&lt;&gt;16),20,0)+IF(AND(B25="Plížení",TYPE(MATCH("Tichošlápek",Character!D$11:D$15,0))&lt;&gt;16),20,0)+IF(AND(OR(B25="Kradení",B25="Fixlování",B25="Kovářství",B25="Odstranění pasti",B25="Otevírání zámků",B25="Padělání",B25="Šití",B25="Tesařství a truhlářství"),TYPE(MATCH("Šikula",Character!D$11:D$15,0))&lt;&gt;16),10,0)+IF(AND(OR(B25="Zastraš nemrtvé",B25="Zastraš démony"),TYPE(MATCH("Exorcista",Character!D$11:D$15,0))&lt;&gt;16),20,0)+IF(AND(B25="Navigace",TYPE(MATCH("Světaznalý",Character!D$11:D$15,0))&lt;&gt;16),20,0)+IF(AND(OR(B25="Fixlování",B25="Kradení",B25="Převleky"),TYPE(MATCH("Herec",Character!D$11:D$15,0))&lt;&gt;16),15,0)+IF(AND(OR(B25="Přesvědčování",B25="Zastraš draky",B25="Zastraš lykantropy"),TYPE(MATCH("Řečník",Character!D$11:D$15,0))&lt;&gt;16),15,0)+IF(AND(OR(B25="Hra na hudební nástroj - strunné",B25="Hra na hudební nástroj - dechové",B25="Hra na hudební nástroj - bicí"),TYPE(MATCH("Hudebník",Character!D$11:D$15,0))&lt;&gt;16),20,0)+IF(AND(B25="Znalost rostlin",TYPE(MATCH("Botanik",Character!D$11:D$15,0))&lt;&gt;16),20,0)+IF(AND(B25="Detekce magie",TYPE(MATCH("Alergie na magii",Character!D$11:D$15,0))&lt;&gt;16),50,0)+IF(AND(OR(B25="Převleky",B25="Fixlování"),TYPE(MATCH("Podvodník",Character!D$11:D$15,0))&lt;&gt;16),30,0))</f>
        <v/>
      </c>
      <c r="I25" s="344" t="str">
        <f>IF(C25="","",IF(Stats!D$9="OK",0,IF(Stats!D$9="Mírně unavená",-5,IF(Stats!D$9="Unavená",-15,IF(Stats!D$9="Silně unavená",-30,IF(Stats!D$9="Vyčerpaná",-MAX(40,(C25+H25+E25)/2),"-----")))))+Combat!AF$13+Combat!AG$14)</f>
        <v/>
      </c>
      <c r="J25" s="373" t="str">
        <f>IF(C25="","",(C25+H25+IF(Character!C$4="Člověk",1.5*E25,E25)+I25)/IF(B25="Akrobacie",CHOOSE(MAX(Combat!AF$1:AF$5)+1,1,1,1,2,4,8),1)/IF(TYPE(MATCH("Nenávist bohů",Character!D$11:D$15,0))&lt;&gt;16,2,1)&amp;"%")</f>
        <v/>
      </c>
      <c r="K25" s="365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</row>
    <row r="26" spans="2:312">
      <c r="B26" s="9"/>
      <c r="C26" s="197" t="str">
        <f>IF(B26&lt;&gt;"",VLOOKUP(B26,'Perks &amp; Skills'!B$69:D$170,2),"")</f>
        <v/>
      </c>
      <c r="D26" s="197" t="str">
        <f>IF(B26&lt;&gt;"",VLOOKUP(B26,'Perks &amp; Skills'!B$69:D$170,3),"")</f>
        <v/>
      </c>
      <c r="E26" s="296"/>
      <c r="F26" s="450" t="str">
        <f>IF(C26="","",IF(AND(IF(AND(OR(MOD(C26,2)&lt;&gt;0,AND(Character!$C$4="Člověk", MOD(E26,2)&lt;&gt;0)),IF(Character!$C$4="Člověk",INT(E26*1.5),E26)=C26),0.5,MAX(INT((C26+IF(Character!$C$4="Člověk",E26*1.5,E26))/C26)-1,0.5))&gt;1,TYPE(MATCH("Učenlivý",Character!D$11:D$15,0))&lt;&gt;16),-1,0)+IF(AND(OR(MOD(C26,2)&lt;&gt;0,AND(Character!$C$4="Člověk", MOD(E26,2)&lt;&gt;0)),IF(Character!$C$4="Člověk",INT(E26*1.5),E26)=C26),0.5,MAX(INT((C26+IF(Character!$C$4="Člověk",E26*1.5,E26))/C26)-1,0.5)))</f>
        <v/>
      </c>
      <c r="G26" s="449"/>
      <c r="H26" s="197" t="str">
        <f>IF(B26="","",IF(AND(Character!C$4="Barbar",B26="Utužování"),10,IF(AND(Character!C$4="Lesní elf",B26="Cvičení zvířat"),10,IF(AND(Character!C$4="Temný elf",B26="Plížení"),10,IF(AND(Character!C$4="Trpaslík",OR(B26="Utužování",B26="Potlačení bolesti")),20,IF(Character!C$4="Gnóm",IF(B26="Stopování",50,IF(OR(B26="Znalost zbraní",B26="Odhad ceny"),75,0)),IF(AND(Character!C$4="Hobit",OR(B26="Akrobacie",B26="Plížení",B26="Otevírání zámků",B26="Odstranění pasti")),10,IF(AND(Character!C$4="Kobold",B26="Stopování"),10,0)))))))+IF(AND(B26="Zpěv",TYPE(MATCH("Pěvec",Character!D$11:D$15,0))&lt;&gt;16),20,0)+IF(AND(OR(B26="Utužování",B26="Potlačení bolesti"),TYPE(MATCH("Tvrdá nátura",Character!D$11:D$15,0))&lt;&gt;16),20,0)+IF(AND(B26="Svádění",TYPE(MATCH("Svůdce",Character!D$11:D$15,0))&lt;&gt;16),20,0)+IF(AND(B26="Vnímavost",TYPE(MATCH("Akční hoch",Character!D$11:D$15,0))&lt;&gt;16),20,0)+IF(AND(B26="Vnímavost",TYPE(MATCH("Bystrozraký",Character!D$11:D$15,0))&lt;&gt;16),20,0)+IF(AND(B26="Plížení",TYPE(MATCH("Tichošlápek",Character!D$11:D$15,0))&lt;&gt;16),20,0)+IF(AND(OR(B26="Kradení",B26="Fixlování",B26="Kovářství",B26="Odstranění pasti",B26="Otevírání zámků",B26="Padělání",B26="Šití",B26="Tesařství a truhlářství"),TYPE(MATCH("Šikula",Character!D$11:D$15,0))&lt;&gt;16),10,0)+IF(AND(OR(B26="Zastraš nemrtvé",B26="Zastraš démony"),TYPE(MATCH("Exorcista",Character!D$11:D$15,0))&lt;&gt;16),20,0)+IF(AND(B26="Navigace",TYPE(MATCH("Světaznalý",Character!D$11:D$15,0))&lt;&gt;16),20,0)+IF(AND(OR(B26="Fixlování",B26="Kradení",B26="Převleky"),TYPE(MATCH("Herec",Character!D$11:D$15,0))&lt;&gt;16),15,0)+IF(AND(OR(B26="Přesvědčování",B26="Zastraš draky",B26="Zastraš lykantropy"),TYPE(MATCH("Řečník",Character!D$11:D$15,0))&lt;&gt;16),15,0)+IF(AND(OR(B26="Hra na hudební nástroj - strunné",B26="Hra na hudební nástroj - dechové",B26="Hra na hudební nástroj - bicí"),TYPE(MATCH("Hudebník",Character!D$11:D$15,0))&lt;&gt;16),20,0)+IF(AND(B26="Znalost rostlin",TYPE(MATCH("Botanik",Character!D$11:D$15,0))&lt;&gt;16),20,0)+IF(AND(B26="Detekce magie",TYPE(MATCH("Alergie na magii",Character!D$11:D$15,0))&lt;&gt;16),50,0)+IF(AND(OR(B26="Převleky",B26="Fixlování"),TYPE(MATCH("Podvodník",Character!D$11:D$15,0))&lt;&gt;16),30,0))</f>
        <v/>
      </c>
      <c r="I26" s="344" t="str">
        <f>IF(C26="","",IF(Stats!D$9="OK",0,IF(Stats!D$9="Mírně unavená",-5,IF(Stats!D$9="Unavená",-15,IF(Stats!D$9="Silně unavená",-30,IF(Stats!D$9="Vyčerpaná",-MAX(40,(C26+H26+E26)/2),"-----")))))+Combat!AF$13+Combat!AG$14)</f>
        <v/>
      </c>
      <c r="J26" s="373" t="str">
        <f>IF(C26="","",(C26+H26+IF(Character!C$4="Člověk",1.5*E26,E26)+I26)/IF(B26="Akrobacie",CHOOSE(MAX(Combat!AF$1:AF$5)+1,1,1,1,2,4,8),1)/IF(TYPE(MATCH("Nenávist bohů",Character!D$11:D$15,0))&lt;&gt;16,2,1)&amp;"%")</f>
        <v/>
      </c>
      <c r="K26" s="365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</row>
    <row r="27" spans="2:312">
      <c r="B27" s="9"/>
      <c r="C27" s="197" t="str">
        <f>IF(B27&lt;&gt;"",VLOOKUP(B27,'Perks &amp; Skills'!B$69:D$170,2),"")</f>
        <v/>
      </c>
      <c r="D27" s="197" t="str">
        <f>IF(B27&lt;&gt;"",VLOOKUP(B27,'Perks &amp; Skills'!B$69:D$170,3),"")</f>
        <v/>
      </c>
      <c r="E27" s="296"/>
      <c r="F27" s="450" t="str">
        <f>IF(C27="","",IF(AND(IF(AND(OR(MOD(C27,2)&lt;&gt;0,AND(Character!$C$4="Člověk", MOD(E27,2)&lt;&gt;0)),IF(Character!$C$4="Člověk",INT(E27*1.5),E27)=C27),0.5,MAX(INT((C27+IF(Character!$C$4="Člověk",E27*1.5,E27))/C27)-1,0.5))&gt;1,TYPE(MATCH("Učenlivý",Character!D$11:D$15,0))&lt;&gt;16),-1,0)+IF(AND(OR(MOD(C27,2)&lt;&gt;0,AND(Character!$C$4="Člověk", MOD(E27,2)&lt;&gt;0)),IF(Character!$C$4="Člověk",INT(E27*1.5),E27)=C27),0.5,MAX(INT((C27+IF(Character!$C$4="Člověk",E27*1.5,E27))/C27)-1,0.5)))</f>
        <v/>
      </c>
      <c r="G27" s="449"/>
      <c r="H27" s="197" t="str">
        <f>IF(B27="","",IF(AND(Character!C$4="Barbar",B27="Utužování"),10,IF(AND(Character!C$4="Lesní elf",B27="Cvičení zvířat"),10,IF(AND(Character!C$4="Temný elf",B27="Plížení"),10,IF(AND(Character!C$4="Trpaslík",OR(B27="Utužování",B27="Potlačení bolesti")),20,IF(Character!C$4="Gnóm",IF(B27="Stopování",50,IF(OR(B27="Znalost zbraní",B27="Odhad ceny"),75,0)),IF(AND(Character!C$4="Hobit",OR(B27="Akrobacie",B27="Plížení",B27="Otevírání zámků",B27="Odstranění pasti")),10,IF(AND(Character!C$4="Kobold",B27="Stopování"),10,0)))))))+IF(AND(B27="Zpěv",TYPE(MATCH("Pěvec",Character!D$11:D$15,0))&lt;&gt;16),20,0)+IF(AND(OR(B27="Utužování",B27="Potlačení bolesti"),TYPE(MATCH("Tvrdá nátura",Character!D$11:D$15,0))&lt;&gt;16),20,0)+IF(AND(B27="Svádění",TYPE(MATCH("Svůdce",Character!D$11:D$15,0))&lt;&gt;16),20,0)+IF(AND(B27="Vnímavost",TYPE(MATCH("Akční hoch",Character!D$11:D$15,0))&lt;&gt;16),20,0)+IF(AND(B27="Vnímavost",TYPE(MATCH("Bystrozraký",Character!D$11:D$15,0))&lt;&gt;16),20,0)+IF(AND(B27="Plížení",TYPE(MATCH("Tichošlápek",Character!D$11:D$15,0))&lt;&gt;16),20,0)+IF(AND(OR(B27="Kradení",B27="Fixlování",B27="Kovářství",B27="Odstranění pasti",B27="Otevírání zámků",B27="Padělání",B27="Šití",B27="Tesařství a truhlářství"),TYPE(MATCH("Šikula",Character!D$11:D$15,0))&lt;&gt;16),10,0)+IF(AND(OR(B27="Zastraš nemrtvé",B27="Zastraš démony"),TYPE(MATCH("Exorcista",Character!D$11:D$15,0))&lt;&gt;16),20,0)+IF(AND(B27="Navigace",TYPE(MATCH("Světaznalý",Character!D$11:D$15,0))&lt;&gt;16),20,0)+IF(AND(OR(B27="Fixlování",B27="Kradení",B27="Převleky"),TYPE(MATCH("Herec",Character!D$11:D$15,0))&lt;&gt;16),15,0)+IF(AND(OR(B27="Přesvědčování",B27="Zastraš draky",B27="Zastraš lykantropy"),TYPE(MATCH("Řečník",Character!D$11:D$15,0))&lt;&gt;16),15,0)+IF(AND(OR(B27="Hra na hudební nástroj - strunné",B27="Hra na hudební nástroj - dechové",B27="Hra na hudební nástroj - bicí"),TYPE(MATCH("Hudebník",Character!D$11:D$15,0))&lt;&gt;16),20,0)+IF(AND(B27="Znalost rostlin",TYPE(MATCH("Botanik",Character!D$11:D$15,0))&lt;&gt;16),20,0)+IF(AND(B27="Detekce magie",TYPE(MATCH("Alergie na magii",Character!D$11:D$15,0))&lt;&gt;16),50,0)+IF(AND(OR(B27="Převleky",B27="Fixlování"),TYPE(MATCH("Podvodník",Character!D$11:D$15,0))&lt;&gt;16),30,0))</f>
        <v/>
      </c>
      <c r="I27" s="344" t="str">
        <f>IF(C27="","",IF(Stats!D$9="OK",0,IF(Stats!D$9="Mírně unavená",-5,IF(Stats!D$9="Unavená",-15,IF(Stats!D$9="Silně unavená",-30,IF(Stats!D$9="Vyčerpaná",-MAX(40,(C27+H27+E27)/2),"-----")))))+Combat!AF$13+Combat!AG$14)</f>
        <v/>
      </c>
      <c r="J27" s="373" t="str">
        <f>IF(C27="","",(C27+H27+IF(Character!C$4="Člověk",1.5*E27,E27)+I27)/IF(B27="Akrobacie",CHOOSE(MAX(Combat!AF$1:AF$5)+1,1,1,1,2,4,8),1)/IF(TYPE(MATCH("Nenávist bohů",Character!D$11:D$15,0))&lt;&gt;16,2,1)&amp;"%")</f>
        <v/>
      </c>
      <c r="K27" s="365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</row>
    <row r="28" spans="2:312">
      <c r="B28" s="9"/>
      <c r="C28" s="197" t="str">
        <f>IF(B28&lt;&gt;"",VLOOKUP(B28,'Perks &amp; Skills'!B$69:D$170,2),"")</f>
        <v/>
      </c>
      <c r="D28" s="197" t="str">
        <f>IF(B28&lt;&gt;"",VLOOKUP(B28,'Perks &amp; Skills'!B$69:D$170,3),"")</f>
        <v/>
      </c>
      <c r="E28" s="296"/>
      <c r="F28" s="450" t="str">
        <f>IF(C28="","",IF(AND(IF(AND(OR(MOD(C28,2)&lt;&gt;0,AND(Character!$C$4="Člověk", MOD(E28,2)&lt;&gt;0)),IF(Character!$C$4="Člověk",INT(E28*1.5),E28)=C28),0.5,MAX(INT((C28+IF(Character!$C$4="Člověk",E28*1.5,E28))/C28)-1,0.5))&gt;1,TYPE(MATCH("Učenlivý",Character!D$11:D$15,0))&lt;&gt;16),-1,0)+IF(AND(OR(MOD(C28,2)&lt;&gt;0,AND(Character!$C$4="Člověk", MOD(E28,2)&lt;&gt;0)),IF(Character!$C$4="Člověk",INT(E28*1.5),E28)=C28),0.5,MAX(INT((C28+IF(Character!$C$4="Člověk",E28*1.5,E28))/C28)-1,0.5)))</f>
        <v/>
      </c>
      <c r="G28" s="449"/>
      <c r="H28" s="197" t="str">
        <f>IF(B28="","",IF(AND(Character!C$4="Barbar",B28="Utužování"),10,IF(AND(Character!C$4="Lesní elf",B28="Cvičení zvířat"),10,IF(AND(Character!C$4="Temný elf",B28="Plížení"),10,IF(AND(Character!C$4="Trpaslík",OR(B28="Utužování",B28="Potlačení bolesti")),20,IF(Character!C$4="Gnóm",IF(B28="Stopování",50,IF(OR(B28="Znalost zbraní",B28="Odhad ceny"),75,0)),IF(AND(Character!C$4="Hobit",OR(B28="Akrobacie",B28="Plížení",B28="Otevírání zámků",B28="Odstranění pasti")),10,IF(AND(Character!C$4="Kobold",B28="Stopování"),10,0)))))))+IF(AND(B28="Zpěv",TYPE(MATCH("Pěvec",Character!D$11:D$15,0))&lt;&gt;16),20,0)+IF(AND(OR(B28="Utužování",B28="Potlačení bolesti"),TYPE(MATCH("Tvrdá nátura",Character!D$11:D$15,0))&lt;&gt;16),20,0)+IF(AND(B28="Svádění",TYPE(MATCH("Svůdce",Character!D$11:D$15,0))&lt;&gt;16),20,0)+IF(AND(B28="Vnímavost",TYPE(MATCH("Akční hoch",Character!D$11:D$15,0))&lt;&gt;16),20,0)+IF(AND(B28="Vnímavost",TYPE(MATCH("Bystrozraký",Character!D$11:D$15,0))&lt;&gt;16),20,0)+IF(AND(B28="Plížení",TYPE(MATCH("Tichošlápek",Character!D$11:D$15,0))&lt;&gt;16),20,0)+IF(AND(OR(B28="Kradení",B28="Fixlování",B28="Kovářství",B28="Odstranění pasti",B28="Otevírání zámků",B28="Padělání",B28="Šití",B28="Tesařství a truhlářství"),TYPE(MATCH("Šikula",Character!D$11:D$15,0))&lt;&gt;16),10,0)+IF(AND(OR(B28="Zastraš nemrtvé",B28="Zastraš démony"),TYPE(MATCH("Exorcista",Character!D$11:D$15,0))&lt;&gt;16),20,0)+IF(AND(B28="Navigace",TYPE(MATCH("Světaznalý",Character!D$11:D$15,0))&lt;&gt;16),20,0)+IF(AND(OR(B28="Fixlování",B28="Kradení",B28="Převleky"),TYPE(MATCH("Herec",Character!D$11:D$15,0))&lt;&gt;16),15,0)+IF(AND(OR(B28="Přesvědčování",B28="Zastraš draky",B28="Zastraš lykantropy"),TYPE(MATCH("Řečník",Character!D$11:D$15,0))&lt;&gt;16),15,0)+IF(AND(OR(B28="Hra na hudební nástroj - strunné",B28="Hra na hudební nástroj - dechové",B28="Hra na hudební nástroj - bicí"),TYPE(MATCH("Hudebník",Character!D$11:D$15,0))&lt;&gt;16),20,0)+IF(AND(B28="Znalost rostlin",TYPE(MATCH("Botanik",Character!D$11:D$15,0))&lt;&gt;16),20,0)+IF(AND(B28="Detekce magie",TYPE(MATCH("Alergie na magii",Character!D$11:D$15,0))&lt;&gt;16),50,0)+IF(AND(OR(B28="Převleky",B28="Fixlování"),TYPE(MATCH("Podvodník",Character!D$11:D$15,0))&lt;&gt;16),30,0))</f>
        <v/>
      </c>
      <c r="I28" s="344" t="str">
        <f>IF(C28="","",IF(Stats!D$9="OK",0,IF(Stats!D$9="Mírně unavená",-5,IF(Stats!D$9="Unavená",-15,IF(Stats!D$9="Silně unavená",-30,IF(Stats!D$9="Vyčerpaná",-MAX(40,(C28+H28+E28)/2),"-----")))))+Combat!AF$13+Combat!AG$14)</f>
        <v/>
      </c>
      <c r="J28" s="373" t="str">
        <f>IF(C28="","",(C28+H28+IF(Character!C$4="Člověk",1.5*E28,E28)+I28)/IF(B28="Akrobacie",CHOOSE(MAX(Combat!AF$1:AF$5)+1,1,1,1,2,4,8),1)/IF(TYPE(MATCH("Nenávist bohů",Character!D$11:D$15,0))&lt;&gt;16,2,1)&amp;"%")</f>
        <v/>
      </c>
      <c r="K28" s="365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</row>
    <row r="29" spans="2:312">
      <c r="B29" s="9"/>
      <c r="C29" s="197" t="str">
        <f>IF(B29&lt;&gt;"",VLOOKUP(B29,'Perks &amp; Skills'!B$69:D$170,2),"")</f>
        <v/>
      </c>
      <c r="D29" s="197" t="str">
        <f>IF(B29&lt;&gt;"",VLOOKUP(B29,'Perks &amp; Skills'!B$69:D$170,3),"")</f>
        <v/>
      </c>
      <c r="E29" s="296"/>
      <c r="F29" s="450" t="str">
        <f>IF(C29="","",IF(AND(IF(AND(OR(MOD(C29,2)&lt;&gt;0,AND(Character!$C$4="Člověk", MOD(E29,2)&lt;&gt;0)),IF(Character!$C$4="Člověk",INT(E29*1.5),E29)=C29),0.5,MAX(INT((C29+IF(Character!$C$4="Člověk",E29*1.5,E29))/C29)-1,0.5))&gt;1,TYPE(MATCH("Učenlivý",Character!D$11:D$15,0))&lt;&gt;16),-1,0)+IF(AND(OR(MOD(C29,2)&lt;&gt;0,AND(Character!$C$4="Člověk", MOD(E29,2)&lt;&gt;0)),IF(Character!$C$4="Člověk",INT(E29*1.5),E29)=C29),0.5,MAX(INT((C29+IF(Character!$C$4="Člověk",E29*1.5,E29))/C29)-1,0.5)))</f>
        <v/>
      </c>
      <c r="G29" s="449"/>
      <c r="H29" s="197" t="str">
        <f>IF(B29="","",IF(AND(Character!C$4="Barbar",B29="Utužování"),10,IF(AND(Character!C$4="Lesní elf",B29="Cvičení zvířat"),10,IF(AND(Character!C$4="Temný elf",B29="Plížení"),10,IF(AND(Character!C$4="Trpaslík",OR(B29="Utužování",B29="Potlačení bolesti")),20,IF(Character!C$4="Gnóm",IF(B29="Stopování",50,IF(OR(B29="Znalost zbraní",B29="Odhad ceny"),75,0)),IF(AND(Character!C$4="Hobit",OR(B29="Akrobacie",B29="Plížení",B29="Otevírání zámků",B29="Odstranění pasti")),10,IF(AND(Character!C$4="Kobold",B29="Stopování"),10,0)))))))+IF(AND(B29="Zpěv",TYPE(MATCH("Pěvec",Character!D$11:D$15,0))&lt;&gt;16),20,0)+IF(AND(OR(B29="Utužování",B29="Potlačení bolesti"),TYPE(MATCH("Tvrdá nátura",Character!D$11:D$15,0))&lt;&gt;16),20,0)+IF(AND(B29="Svádění",TYPE(MATCH("Svůdce",Character!D$11:D$15,0))&lt;&gt;16),20,0)+IF(AND(B29="Vnímavost",TYPE(MATCH("Akční hoch",Character!D$11:D$15,0))&lt;&gt;16),20,0)+IF(AND(B29="Vnímavost",TYPE(MATCH("Bystrozraký",Character!D$11:D$15,0))&lt;&gt;16),20,0)+IF(AND(B29="Plížení",TYPE(MATCH("Tichošlápek",Character!D$11:D$15,0))&lt;&gt;16),20,0)+IF(AND(OR(B29="Kradení",B29="Fixlování",B29="Kovářství",B29="Odstranění pasti",B29="Otevírání zámků",B29="Padělání",B29="Šití",B29="Tesařství a truhlářství"),TYPE(MATCH("Šikula",Character!D$11:D$15,0))&lt;&gt;16),10,0)+IF(AND(OR(B29="Zastraš nemrtvé",B29="Zastraš démony"),TYPE(MATCH("Exorcista",Character!D$11:D$15,0))&lt;&gt;16),20,0)+IF(AND(B29="Navigace",TYPE(MATCH("Světaznalý",Character!D$11:D$15,0))&lt;&gt;16),20,0)+IF(AND(OR(B29="Fixlování",B29="Kradení",B29="Převleky"),TYPE(MATCH("Herec",Character!D$11:D$15,0))&lt;&gt;16),15,0)+IF(AND(OR(B29="Přesvědčování",B29="Zastraš draky",B29="Zastraš lykantropy"),TYPE(MATCH("Řečník",Character!D$11:D$15,0))&lt;&gt;16),15,0)+IF(AND(OR(B29="Hra na hudební nástroj - strunné",B29="Hra na hudební nástroj - dechové",B29="Hra na hudební nástroj - bicí"),TYPE(MATCH("Hudebník",Character!D$11:D$15,0))&lt;&gt;16),20,0)+IF(AND(B29="Znalost rostlin",TYPE(MATCH("Botanik",Character!D$11:D$15,0))&lt;&gt;16),20,0)+IF(AND(B29="Detekce magie",TYPE(MATCH("Alergie na magii",Character!D$11:D$15,0))&lt;&gt;16),50,0)+IF(AND(OR(B29="Převleky",B29="Fixlování"),TYPE(MATCH("Podvodník",Character!D$11:D$15,0))&lt;&gt;16),30,0))</f>
        <v/>
      </c>
      <c r="I29" s="344" t="str">
        <f>IF(C29="","",IF(Stats!D$9="OK",0,IF(Stats!D$9="Mírně unavená",-5,IF(Stats!D$9="Unavená",-15,IF(Stats!D$9="Silně unavená",-30,IF(Stats!D$9="Vyčerpaná",-MAX(40,(C29+H29+E29)/2),"-----")))))+Combat!AF$13+Combat!AG$14)</f>
        <v/>
      </c>
      <c r="J29" s="373" t="str">
        <f>IF(C29="","",(C29+H29+IF(Character!C$4="Člověk",1.5*E29,E29)+I29)/IF(B29="Akrobacie",CHOOSE(MAX(Combat!AF$1:AF$5)+1,1,1,1,2,4,8),1)/IF(TYPE(MATCH("Nenávist bohů",Character!D$11:D$15,0))&lt;&gt;16,2,1)&amp;"%")</f>
        <v/>
      </c>
      <c r="K29" s="36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</row>
    <row r="30" spans="2:312">
      <c r="B30" s="9"/>
      <c r="C30" s="197" t="str">
        <f>IF(B30&lt;&gt;"",VLOOKUP(B30,'Perks &amp; Skills'!B$69:D$170,2),"")</f>
        <v/>
      </c>
      <c r="D30" s="197" t="str">
        <f>IF(B30&lt;&gt;"",VLOOKUP(B30,'Perks &amp; Skills'!B$69:D$170,3),"")</f>
        <v/>
      </c>
      <c r="E30" s="296"/>
      <c r="F30" s="450" t="str">
        <f>IF(C30="","",IF(AND(IF(AND(OR(MOD(C30,2)&lt;&gt;0,AND(Character!$C$4="Člověk", MOD(E30,2)&lt;&gt;0)),IF(Character!$C$4="Člověk",INT(E30*1.5),E30)=C30),0.5,MAX(INT((C30+IF(Character!$C$4="Člověk",E30*1.5,E30))/C30)-1,0.5))&gt;1,TYPE(MATCH("Učenlivý",Character!D$11:D$15,0))&lt;&gt;16),-1,0)+IF(AND(OR(MOD(C30,2)&lt;&gt;0,AND(Character!$C$4="Člověk", MOD(E30,2)&lt;&gt;0)),IF(Character!$C$4="Člověk",INT(E30*1.5),E30)=C30),0.5,MAX(INT((C30+IF(Character!$C$4="Člověk",E30*1.5,E30))/C30)-1,0.5)))</f>
        <v/>
      </c>
      <c r="G30" s="449"/>
      <c r="H30" s="197" t="str">
        <f>IF(B30="","",IF(AND(Character!C$4="Barbar",B30="Utužování"),10,IF(AND(Character!C$4="Lesní elf",B30="Cvičení zvířat"),10,IF(AND(Character!C$4="Temný elf",B30="Plížení"),10,IF(AND(Character!C$4="Trpaslík",OR(B30="Utužování",B30="Potlačení bolesti")),20,IF(Character!C$4="Gnóm",IF(B30="Stopování",50,IF(OR(B30="Znalost zbraní",B30="Odhad ceny"),75,0)),IF(AND(Character!C$4="Hobit",OR(B30="Akrobacie",B30="Plížení",B30="Otevírání zámků",B30="Odstranění pasti")),10,IF(AND(Character!C$4="Kobold",B30="Stopování"),10,0)))))))+IF(AND(B30="Zpěv",TYPE(MATCH("Pěvec",Character!D$11:D$15,0))&lt;&gt;16),20,0)+IF(AND(OR(B30="Utužování",B30="Potlačení bolesti"),TYPE(MATCH("Tvrdá nátura",Character!D$11:D$15,0))&lt;&gt;16),20,0)+IF(AND(B30="Svádění",TYPE(MATCH("Svůdce",Character!D$11:D$15,0))&lt;&gt;16),20,0)+IF(AND(B30="Vnímavost",TYPE(MATCH("Akční hoch",Character!D$11:D$15,0))&lt;&gt;16),20,0)+IF(AND(B30="Vnímavost",TYPE(MATCH("Bystrozraký",Character!D$11:D$15,0))&lt;&gt;16),20,0)+IF(AND(B30="Plížení",TYPE(MATCH("Tichošlápek",Character!D$11:D$15,0))&lt;&gt;16),20,0)+IF(AND(OR(B30="Kradení",B30="Fixlování",B30="Kovářství",B30="Odstranění pasti",B30="Otevírání zámků",B30="Padělání",B30="Šití",B30="Tesařství a truhlářství"),TYPE(MATCH("Šikula",Character!D$11:D$15,0))&lt;&gt;16),10,0)+IF(AND(OR(B30="Zastraš nemrtvé",B30="Zastraš démony"),TYPE(MATCH("Exorcista",Character!D$11:D$15,0))&lt;&gt;16),20,0)+IF(AND(B30="Navigace",TYPE(MATCH("Světaznalý",Character!D$11:D$15,0))&lt;&gt;16),20,0)+IF(AND(OR(B30="Fixlování",B30="Kradení",B30="Převleky"),TYPE(MATCH("Herec",Character!D$11:D$15,0))&lt;&gt;16),15,0)+IF(AND(OR(B30="Přesvědčování",B30="Zastraš draky",B30="Zastraš lykantropy"),TYPE(MATCH("Řečník",Character!D$11:D$15,0))&lt;&gt;16),15,0)+IF(AND(OR(B30="Hra na hudební nástroj - strunné",B30="Hra na hudební nástroj - dechové",B30="Hra na hudební nástroj - bicí"),TYPE(MATCH("Hudebník",Character!D$11:D$15,0))&lt;&gt;16),20,0)+IF(AND(B30="Znalost rostlin",TYPE(MATCH("Botanik",Character!D$11:D$15,0))&lt;&gt;16),20,0)+IF(AND(B30="Detekce magie",TYPE(MATCH("Alergie na magii",Character!D$11:D$15,0))&lt;&gt;16),50,0)+IF(AND(OR(B30="Převleky",B30="Fixlování"),TYPE(MATCH("Podvodník",Character!D$11:D$15,0))&lt;&gt;16),30,0))</f>
        <v/>
      </c>
      <c r="I30" s="344" t="str">
        <f>IF(C30="","",IF(Stats!D$9="OK",0,IF(Stats!D$9="Mírně unavená",-5,IF(Stats!D$9="Unavená",-15,IF(Stats!D$9="Silně unavená",-30,IF(Stats!D$9="Vyčerpaná",-MAX(40,(C30+H30+E30)/2),"-----")))))+Combat!AF$13+Combat!AG$14)</f>
        <v/>
      </c>
      <c r="J30" s="373" t="str">
        <f>IF(C30="","",(C30+H30+IF(Character!C$4="Člověk",1.5*E30,E30)+I30)/IF(B30="Akrobacie",CHOOSE(MAX(Combat!AF$1:AF$5)+1,1,1,1,2,4,8),1)/IF(TYPE(MATCH("Nenávist bohů",Character!D$11:D$15,0))&lt;&gt;16,2,1)&amp;"%")</f>
        <v/>
      </c>
      <c r="K30" s="365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</row>
    <row r="31" spans="2:312">
      <c r="B31" s="9"/>
      <c r="C31" s="197" t="str">
        <f>IF(B31&lt;&gt;"",VLOOKUP(B31,'Perks &amp; Skills'!B$69:D$170,2),"")</f>
        <v/>
      </c>
      <c r="D31" s="197" t="str">
        <f>IF(B31&lt;&gt;"",VLOOKUP(B31,'Perks &amp; Skills'!B$69:D$170,3),"")</f>
        <v/>
      </c>
      <c r="E31" s="296"/>
      <c r="F31" s="450" t="str">
        <f>IF(C31="","",IF(AND(IF(AND(OR(MOD(C31,2)&lt;&gt;0,AND(Character!$C$4="Člověk", MOD(E31,2)&lt;&gt;0)),IF(Character!$C$4="Člověk",INT(E31*1.5),E31)=C31),0.5,MAX(INT((C31+IF(Character!$C$4="Člověk",E31*1.5,E31))/C31)-1,0.5))&gt;1,TYPE(MATCH("Učenlivý",Character!D$11:D$15,0))&lt;&gt;16),-1,0)+IF(AND(OR(MOD(C31,2)&lt;&gt;0,AND(Character!$C$4="Člověk", MOD(E31,2)&lt;&gt;0)),IF(Character!$C$4="Člověk",INT(E31*1.5),E31)=C31),0.5,MAX(INT((C31+IF(Character!$C$4="Člověk",E31*1.5,E31))/C31)-1,0.5)))</f>
        <v/>
      </c>
      <c r="G31" s="449"/>
      <c r="H31" s="197" t="str">
        <f>IF(B31="","",IF(AND(Character!C$4="Barbar",B31="Utužování"),10,IF(AND(Character!C$4="Lesní elf",B31="Cvičení zvířat"),10,IF(AND(Character!C$4="Temný elf",B31="Plížení"),10,IF(AND(Character!C$4="Trpaslík",OR(B31="Utužování",B31="Potlačení bolesti")),20,IF(Character!C$4="Gnóm",IF(B31="Stopování",50,IF(OR(B31="Znalost zbraní",B31="Odhad ceny"),75,0)),IF(AND(Character!C$4="Hobit",OR(B31="Akrobacie",B31="Plížení",B31="Otevírání zámků",B31="Odstranění pasti")),10,IF(AND(Character!C$4="Kobold",B31="Stopování"),10,0)))))))+IF(AND(B31="Zpěv",TYPE(MATCH("Pěvec",Character!D$11:D$15,0))&lt;&gt;16),20,0)+IF(AND(OR(B31="Utužování",B31="Potlačení bolesti"),TYPE(MATCH("Tvrdá nátura",Character!D$11:D$15,0))&lt;&gt;16),20,0)+IF(AND(B31="Svádění",TYPE(MATCH("Svůdce",Character!D$11:D$15,0))&lt;&gt;16),20,0)+IF(AND(B31="Vnímavost",TYPE(MATCH("Akční hoch",Character!D$11:D$15,0))&lt;&gt;16),20,0)+IF(AND(B31="Vnímavost",TYPE(MATCH("Bystrozraký",Character!D$11:D$15,0))&lt;&gt;16),20,0)+IF(AND(B31="Plížení",TYPE(MATCH("Tichošlápek",Character!D$11:D$15,0))&lt;&gt;16),20,0)+IF(AND(OR(B31="Kradení",B31="Fixlování",B31="Kovářství",B31="Odstranění pasti",B31="Otevírání zámků",B31="Padělání",B31="Šití",B31="Tesařství a truhlářství"),TYPE(MATCH("Šikula",Character!D$11:D$15,0))&lt;&gt;16),10,0)+IF(AND(OR(B31="Zastraš nemrtvé",B31="Zastraš démony"),TYPE(MATCH("Exorcista",Character!D$11:D$15,0))&lt;&gt;16),20,0)+IF(AND(B31="Navigace",TYPE(MATCH("Světaznalý",Character!D$11:D$15,0))&lt;&gt;16),20,0)+IF(AND(OR(B31="Fixlování",B31="Kradení",B31="Převleky"),TYPE(MATCH("Herec",Character!D$11:D$15,0))&lt;&gt;16),15,0)+IF(AND(OR(B31="Přesvědčování",B31="Zastraš draky",B31="Zastraš lykantropy"),TYPE(MATCH("Řečník",Character!D$11:D$15,0))&lt;&gt;16),15,0)+IF(AND(OR(B31="Hra na hudební nástroj - strunné",B31="Hra na hudební nástroj - dechové",B31="Hra na hudební nástroj - bicí"),TYPE(MATCH("Hudebník",Character!D$11:D$15,0))&lt;&gt;16),20,0)+IF(AND(B31="Znalost rostlin",TYPE(MATCH("Botanik",Character!D$11:D$15,0))&lt;&gt;16),20,0)+IF(AND(B31="Detekce magie",TYPE(MATCH("Alergie na magii",Character!D$11:D$15,0))&lt;&gt;16),50,0)+IF(AND(OR(B31="Převleky",B31="Fixlování"),TYPE(MATCH("Podvodník",Character!D$11:D$15,0))&lt;&gt;16),30,0))</f>
        <v/>
      </c>
      <c r="I31" s="344" t="str">
        <f>IF(C31="","",IF(Stats!D$9="OK",0,IF(Stats!D$9="Mírně unavená",-5,IF(Stats!D$9="Unavená",-15,IF(Stats!D$9="Silně unavená",-30,IF(Stats!D$9="Vyčerpaná",-MAX(40,(C31+H31+E31)/2),"-----")))))+Combat!AF$13+Combat!AG$14)</f>
        <v/>
      </c>
      <c r="J31" s="373" t="str">
        <f>IF(C31="","",(C31+H31+IF(Character!C$4="Člověk",1.5*E31,E31)+I31)/IF(B31="Akrobacie",CHOOSE(MAX(Combat!AF$1:AF$5)+1,1,1,1,2,4,8),1)/IF(TYPE(MATCH("Nenávist bohů",Character!D$11:D$15,0))&lt;&gt;16,2,1)&amp;"%")</f>
        <v/>
      </c>
      <c r="K31" s="365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</row>
    <row r="32" spans="2:312">
      <c r="B32" s="9"/>
      <c r="C32" s="197" t="str">
        <f>IF(B32&lt;&gt;"",VLOOKUP(B32,'Perks &amp; Skills'!B$69:D$170,2),"")</f>
        <v/>
      </c>
      <c r="D32" s="197" t="str">
        <f>IF(B32&lt;&gt;"",VLOOKUP(B32,'Perks &amp; Skills'!B$69:D$170,3),"")</f>
        <v/>
      </c>
      <c r="E32" s="296"/>
      <c r="F32" s="450" t="str">
        <f>IF(C32="","",IF(AND(IF(AND(OR(MOD(C32,2)&lt;&gt;0,AND(Character!$C$4="Člověk", MOD(E32,2)&lt;&gt;0)),IF(Character!$C$4="Člověk",INT(E32*1.5),E32)=C32),0.5,MAX(INT((C32+IF(Character!$C$4="Člověk",E32*1.5,E32))/C32)-1,0.5))&gt;1,TYPE(MATCH("Učenlivý",Character!D$11:D$15,0))&lt;&gt;16),-1,0)+IF(AND(OR(MOD(C32,2)&lt;&gt;0,AND(Character!$C$4="Člověk", MOD(E32,2)&lt;&gt;0)),IF(Character!$C$4="Člověk",INT(E32*1.5),E32)=C32),0.5,MAX(INT((C32+IF(Character!$C$4="Člověk",E32*1.5,E32))/C32)-1,0.5)))</f>
        <v/>
      </c>
      <c r="G32" s="449"/>
      <c r="H32" s="197" t="str">
        <f>IF(B32="","",IF(AND(Character!C$4="Barbar",B32="Utužování"),10,IF(AND(Character!C$4="Lesní elf",B32="Cvičení zvířat"),10,IF(AND(Character!C$4="Temný elf",B32="Plížení"),10,IF(AND(Character!C$4="Trpaslík",OR(B32="Utužování",B32="Potlačení bolesti")),20,IF(Character!C$4="Gnóm",IF(B32="Stopování",50,IF(OR(B32="Znalost zbraní",B32="Odhad ceny"),75,0)),IF(AND(Character!C$4="Hobit",OR(B32="Akrobacie",B32="Plížení",B32="Otevírání zámků",B32="Odstranění pasti")),10,IF(AND(Character!C$4="Kobold",B32="Stopování"),10,0)))))))+IF(AND(B32="Zpěv",TYPE(MATCH("Pěvec",Character!D$11:D$15,0))&lt;&gt;16),20,0)+IF(AND(OR(B32="Utužování",B32="Potlačení bolesti"),TYPE(MATCH("Tvrdá nátura",Character!D$11:D$15,0))&lt;&gt;16),20,0)+IF(AND(B32="Svádění",TYPE(MATCH("Svůdce",Character!D$11:D$15,0))&lt;&gt;16),20,0)+IF(AND(B32="Vnímavost",TYPE(MATCH("Akční hoch",Character!D$11:D$15,0))&lt;&gt;16),20,0)+IF(AND(B32="Vnímavost",TYPE(MATCH("Bystrozraký",Character!D$11:D$15,0))&lt;&gt;16),20,0)+IF(AND(B32="Plížení",TYPE(MATCH("Tichošlápek",Character!D$11:D$15,0))&lt;&gt;16),20,0)+IF(AND(OR(B32="Kradení",B32="Fixlování",B32="Kovářství",B32="Odstranění pasti",B32="Otevírání zámků",B32="Padělání",B32="Šití",B32="Tesařství a truhlářství"),TYPE(MATCH("Šikula",Character!D$11:D$15,0))&lt;&gt;16),10,0)+IF(AND(OR(B32="Zastraš nemrtvé",B32="Zastraš démony"),TYPE(MATCH("Exorcista",Character!D$11:D$15,0))&lt;&gt;16),20,0)+IF(AND(B32="Navigace",TYPE(MATCH("Světaznalý",Character!D$11:D$15,0))&lt;&gt;16),20,0)+IF(AND(OR(B32="Fixlování",B32="Kradení",B32="Převleky"),TYPE(MATCH("Herec",Character!D$11:D$15,0))&lt;&gt;16),15,0)+IF(AND(OR(B32="Přesvědčování",B32="Zastraš draky",B32="Zastraš lykantropy"),TYPE(MATCH("Řečník",Character!D$11:D$15,0))&lt;&gt;16),15,0)+IF(AND(OR(B32="Hra na hudební nástroj - strunné",B32="Hra na hudební nástroj - dechové",B32="Hra na hudební nástroj - bicí"),TYPE(MATCH("Hudebník",Character!D$11:D$15,0))&lt;&gt;16),20,0)+IF(AND(B32="Znalost rostlin",TYPE(MATCH("Botanik",Character!D$11:D$15,0))&lt;&gt;16),20,0)+IF(AND(B32="Detekce magie",TYPE(MATCH("Alergie na magii",Character!D$11:D$15,0))&lt;&gt;16),50,0)+IF(AND(OR(B32="Převleky",B32="Fixlování"),TYPE(MATCH("Podvodník",Character!D$11:D$15,0))&lt;&gt;16),30,0))</f>
        <v/>
      </c>
      <c r="I32" s="344" t="str">
        <f>IF(C32="","",IF(Stats!D$9="OK",0,IF(Stats!D$9="Mírně unavená",-5,IF(Stats!D$9="Unavená",-15,IF(Stats!D$9="Silně unavená",-30,IF(Stats!D$9="Vyčerpaná",-MAX(40,(C32+H32+E32)/2),"-----")))))+Combat!AF$13+Combat!AG$14)</f>
        <v/>
      </c>
      <c r="J32" s="373" t="str">
        <f>IF(C32="","",(C32+H32+IF(Character!C$4="Člověk",1.5*E32,E32)+I32)/IF(B32="Akrobacie",CHOOSE(MAX(Combat!AF$1:AF$5)+1,1,1,1,2,4,8),1)/IF(TYPE(MATCH("Nenávist bohů",Character!D$11:D$15,0))&lt;&gt;16,2,1)&amp;"%")</f>
        <v/>
      </c>
      <c r="K32" s="365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</row>
    <row r="33" spans="2:312">
      <c r="B33" s="9"/>
      <c r="C33" s="197" t="str">
        <f>IF(B33&lt;&gt;"",VLOOKUP(B33,'Perks &amp; Skills'!B$69:D$170,2),"")</f>
        <v/>
      </c>
      <c r="D33" s="197" t="str">
        <f>IF(B33&lt;&gt;"",VLOOKUP(B33,'Perks &amp; Skills'!B$69:D$170,3),"")</f>
        <v/>
      </c>
      <c r="E33" s="296"/>
      <c r="F33" s="450" t="str">
        <f>IF(C33="","",IF(AND(IF(AND(OR(MOD(C33,2)&lt;&gt;0,AND(Character!$C$4="Člověk", MOD(E33,2)&lt;&gt;0)),IF(Character!$C$4="Člověk",INT(E33*1.5),E33)=C33),0.5,MAX(INT((C33+IF(Character!$C$4="Člověk",E33*1.5,E33))/C33)-1,0.5))&gt;1,TYPE(MATCH("Učenlivý",Character!D$11:D$15,0))&lt;&gt;16),-1,0)+IF(AND(OR(MOD(C33,2)&lt;&gt;0,AND(Character!$C$4="Člověk", MOD(E33,2)&lt;&gt;0)),IF(Character!$C$4="Člověk",INT(E33*1.5),E33)=C33),0.5,MAX(INT((C33+IF(Character!$C$4="Člověk",E33*1.5,E33))/C33)-1,0.5)))</f>
        <v/>
      </c>
      <c r="G33" s="449"/>
      <c r="H33" s="197" t="str">
        <f>IF(B33="","",IF(AND(Character!C$4="Barbar",B33="Utužování"),10,IF(AND(Character!C$4="Lesní elf",B33="Cvičení zvířat"),10,IF(AND(Character!C$4="Temný elf",B33="Plížení"),10,IF(AND(Character!C$4="Trpaslík",OR(B33="Utužování",B33="Potlačení bolesti")),20,IF(Character!C$4="Gnóm",IF(B33="Stopování",50,IF(OR(B33="Znalost zbraní",B33="Odhad ceny"),75,0)),IF(AND(Character!C$4="Hobit",OR(B33="Akrobacie",B33="Plížení",B33="Otevírání zámků",B33="Odstranění pasti")),10,IF(AND(Character!C$4="Kobold",B33="Stopování"),10,0)))))))+IF(AND(B33="Zpěv",TYPE(MATCH("Pěvec",Character!D$11:D$15,0))&lt;&gt;16),20,0)+IF(AND(OR(B33="Utužování",B33="Potlačení bolesti"),TYPE(MATCH("Tvrdá nátura",Character!D$11:D$15,0))&lt;&gt;16),20,0)+IF(AND(B33="Svádění",TYPE(MATCH("Svůdce",Character!D$11:D$15,0))&lt;&gt;16),20,0)+IF(AND(B33="Vnímavost",TYPE(MATCH("Akční hoch",Character!D$11:D$15,0))&lt;&gt;16),20,0)+IF(AND(B33="Vnímavost",TYPE(MATCH("Bystrozraký",Character!D$11:D$15,0))&lt;&gt;16),20,0)+IF(AND(B33="Plížení",TYPE(MATCH("Tichošlápek",Character!D$11:D$15,0))&lt;&gt;16),20,0)+IF(AND(OR(B33="Kradení",B33="Fixlování",B33="Kovářství",B33="Odstranění pasti",B33="Otevírání zámků",B33="Padělání",B33="Šití",B33="Tesařství a truhlářství"),TYPE(MATCH("Šikula",Character!D$11:D$15,0))&lt;&gt;16),10,0)+IF(AND(OR(B33="Zastraš nemrtvé",B33="Zastraš démony"),TYPE(MATCH("Exorcista",Character!D$11:D$15,0))&lt;&gt;16),20,0)+IF(AND(B33="Navigace",TYPE(MATCH("Světaznalý",Character!D$11:D$15,0))&lt;&gt;16),20,0)+IF(AND(OR(B33="Fixlování",B33="Kradení",B33="Převleky"),TYPE(MATCH("Herec",Character!D$11:D$15,0))&lt;&gt;16),15,0)+IF(AND(OR(B33="Přesvědčování",B33="Zastraš draky",B33="Zastraš lykantropy"),TYPE(MATCH("Řečník",Character!D$11:D$15,0))&lt;&gt;16),15,0)+IF(AND(OR(B33="Hra na hudební nástroj - strunné",B33="Hra na hudební nástroj - dechové",B33="Hra na hudební nástroj - bicí"),TYPE(MATCH("Hudebník",Character!D$11:D$15,0))&lt;&gt;16),20,0)+IF(AND(B33="Znalost rostlin",TYPE(MATCH("Botanik",Character!D$11:D$15,0))&lt;&gt;16),20,0)+IF(AND(B33="Detekce magie",TYPE(MATCH("Alergie na magii",Character!D$11:D$15,0))&lt;&gt;16),50,0)+IF(AND(OR(B33="Převleky",B33="Fixlování"),TYPE(MATCH("Podvodník",Character!D$11:D$15,0))&lt;&gt;16),30,0))</f>
        <v/>
      </c>
      <c r="I33" s="344" t="str">
        <f>IF(C33="","",IF(Stats!D$9="OK",0,IF(Stats!D$9="Mírně unavená",-5,IF(Stats!D$9="Unavená",-15,IF(Stats!D$9="Silně unavená",-30,IF(Stats!D$9="Vyčerpaná",-MAX(40,(C33+H33+E33)/2),"-----")))))+Combat!AF$13+Combat!AG$14)</f>
        <v/>
      </c>
      <c r="J33" s="373" t="str">
        <f>IF(C33="","",(C33+H33+IF(Character!C$4="Člověk",1.5*E33,E33)+I33)/IF(B33="Akrobacie",CHOOSE(MAX(Combat!AF$1:AF$5)+1,1,1,1,2,4,8),1)/IF(TYPE(MATCH("Nenávist bohů",Character!D$11:D$15,0))&lt;&gt;16,2,1)&amp;"%")</f>
        <v/>
      </c>
      <c r="K33" s="365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</row>
    <row r="34" spans="2:312">
      <c r="B34" s="9"/>
      <c r="C34" s="197" t="str">
        <f>IF(B34&lt;&gt;"",VLOOKUP(B34,'Perks &amp; Skills'!B$69:D$170,2),"")</f>
        <v/>
      </c>
      <c r="D34" s="197" t="str">
        <f>IF(B34&lt;&gt;"",VLOOKUP(B34,'Perks &amp; Skills'!B$69:D$170,3),"")</f>
        <v/>
      </c>
      <c r="E34" s="296"/>
      <c r="F34" s="450" t="str">
        <f>IF(C34="","",IF(AND(IF(AND(OR(MOD(C34,2)&lt;&gt;0,AND(Character!$C$4="Člověk", MOD(E34,2)&lt;&gt;0)),IF(Character!$C$4="Člověk",INT(E34*1.5),E34)=C34),0.5,MAX(INT((C34+IF(Character!$C$4="Člověk",E34*1.5,E34))/C34)-1,0.5))&gt;1,TYPE(MATCH("Učenlivý",Character!D$11:D$15,0))&lt;&gt;16),-1,0)+IF(AND(OR(MOD(C34,2)&lt;&gt;0,AND(Character!$C$4="Člověk", MOD(E34,2)&lt;&gt;0)),IF(Character!$C$4="Člověk",INT(E34*1.5),E34)=C34),0.5,MAX(INT((C34+IF(Character!$C$4="Člověk",E34*1.5,E34))/C34)-1,0.5)))</f>
        <v/>
      </c>
      <c r="G34" s="449"/>
      <c r="H34" s="197" t="str">
        <f>IF(B34="","",IF(AND(Character!C$4="Barbar",B34="Utužování"),10,IF(AND(Character!C$4="Lesní elf",B34="Cvičení zvířat"),10,IF(AND(Character!C$4="Temný elf",B34="Plížení"),10,IF(AND(Character!C$4="Trpaslík",OR(B34="Utužování",B34="Potlačení bolesti")),20,IF(Character!C$4="Gnóm",IF(B34="Stopování",50,IF(OR(B34="Znalost zbraní",B34="Odhad ceny"),75,0)),IF(AND(Character!C$4="Hobit",OR(B34="Akrobacie",B34="Plížení",B34="Otevírání zámků",B34="Odstranění pasti")),10,IF(AND(Character!C$4="Kobold",B34="Stopování"),10,0)))))))+IF(AND(B34="Zpěv",TYPE(MATCH("Pěvec",Character!D$11:D$15,0))&lt;&gt;16),20,0)+IF(AND(OR(B34="Utužování",B34="Potlačení bolesti"),TYPE(MATCH("Tvrdá nátura",Character!D$11:D$15,0))&lt;&gt;16),20,0)+IF(AND(B34="Svádění",TYPE(MATCH("Svůdce",Character!D$11:D$15,0))&lt;&gt;16),20,0)+IF(AND(B34="Vnímavost",TYPE(MATCH("Akční hoch",Character!D$11:D$15,0))&lt;&gt;16),20,0)+IF(AND(B34="Vnímavost",TYPE(MATCH("Bystrozraký",Character!D$11:D$15,0))&lt;&gt;16),20,0)+IF(AND(B34="Plížení",TYPE(MATCH("Tichošlápek",Character!D$11:D$15,0))&lt;&gt;16),20,0)+IF(AND(OR(B34="Kradení",B34="Fixlování",B34="Kovářství",B34="Odstranění pasti",B34="Otevírání zámků",B34="Padělání",B34="Šití",B34="Tesařství a truhlářství"),TYPE(MATCH("Šikula",Character!D$11:D$15,0))&lt;&gt;16),10,0)+IF(AND(OR(B34="Zastraš nemrtvé",B34="Zastraš démony"),TYPE(MATCH("Exorcista",Character!D$11:D$15,0))&lt;&gt;16),20,0)+IF(AND(B34="Navigace",TYPE(MATCH("Světaznalý",Character!D$11:D$15,0))&lt;&gt;16),20,0)+IF(AND(OR(B34="Fixlování",B34="Kradení",B34="Převleky"),TYPE(MATCH("Herec",Character!D$11:D$15,0))&lt;&gt;16),15,0)+IF(AND(OR(B34="Přesvědčování",B34="Zastraš draky",B34="Zastraš lykantropy"),TYPE(MATCH("Řečník",Character!D$11:D$15,0))&lt;&gt;16),15,0)+IF(AND(OR(B34="Hra na hudební nástroj - strunné",B34="Hra na hudební nástroj - dechové",B34="Hra na hudební nástroj - bicí"),TYPE(MATCH("Hudebník",Character!D$11:D$15,0))&lt;&gt;16),20,0)+IF(AND(B34="Znalost rostlin",TYPE(MATCH("Botanik",Character!D$11:D$15,0))&lt;&gt;16),20,0)+IF(AND(B34="Detekce magie",TYPE(MATCH("Alergie na magii",Character!D$11:D$15,0))&lt;&gt;16),50,0)+IF(AND(OR(B34="Převleky",B34="Fixlování"),TYPE(MATCH("Podvodník",Character!D$11:D$15,0))&lt;&gt;16),30,0))</f>
        <v/>
      </c>
      <c r="I34" s="344" t="str">
        <f>IF(C34="","",IF(Stats!D$9="OK",0,IF(Stats!D$9="Mírně unavená",-5,IF(Stats!D$9="Unavená",-15,IF(Stats!D$9="Silně unavená",-30,IF(Stats!D$9="Vyčerpaná",-MAX(40,(C34+H34+E34)/2),"-----")))))+Combat!AF$13+Combat!AG$14)</f>
        <v/>
      </c>
      <c r="J34" s="373" t="str">
        <f>IF(C34="","",(C34+H34+IF(Character!C$4="Člověk",1.5*E34,E34)+I34)/IF(B34="Akrobacie",CHOOSE(MAX(Combat!AF$1:AF$5)+1,1,1,1,2,4,8),1)/IF(TYPE(MATCH("Nenávist bohů",Character!D$11:D$15,0))&lt;&gt;16,2,1)&amp;"%")</f>
        <v/>
      </c>
      <c r="K34" s="365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</row>
    <row r="35" spans="2:312">
      <c r="B35" s="9"/>
      <c r="C35" s="197" t="str">
        <f>IF(B35&lt;&gt;"",VLOOKUP(B35,'Perks &amp; Skills'!B$69:D$170,2),"")</f>
        <v/>
      </c>
      <c r="D35" s="197" t="str">
        <f>IF(B35&lt;&gt;"",VLOOKUP(B35,'Perks &amp; Skills'!B$69:D$170,3),"")</f>
        <v/>
      </c>
      <c r="E35" s="296"/>
      <c r="F35" s="450" t="str">
        <f>IF(C35="","",IF(AND(IF(AND(OR(MOD(C35,2)&lt;&gt;0,AND(Character!$C$4="Člověk", MOD(E35,2)&lt;&gt;0)),IF(Character!$C$4="Člověk",INT(E35*1.5),E35)=C35),0.5,MAX(INT((C35+IF(Character!$C$4="Člověk",E35*1.5,E35))/C35)-1,0.5))&gt;1,TYPE(MATCH("Učenlivý",Character!D$11:D$15,0))&lt;&gt;16),-1,0)+IF(AND(OR(MOD(C35,2)&lt;&gt;0,AND(Character!$C$4="Člověk", MOD(E35,2)&lt;&gt;0)),IF(Character!$C$4="Člověk",INT(E35*1.5),E35)=C35),0.5,MAX(INT((C35+IF(Character!$C$4="Člověk",E35*1.5,E35))/C35)-1,0.5)))</f>
        <v/>
      </c>
      <c r="G35" s="449"/>
      <c r="H35" s="197" t="str">
        <f>IF(B35="","",IF(AND(Character!C$4="Barbar",B35="Utužování"),10,IF(AND(Character!C$4="Lesní elf",B35="Cvičení zvířat"),10,IF(AND(Character!C$4="Temný elf",B35="Plížení"),10,IF(AND(Character!C$4="Trpaslík",OR(B35="Utužování",B35="Potlačení bolesti")),20,IF(Character!C$4="Gnóm",IF(B35="Stopování",50,IF(OR(B35="Znalost zbraní",B35="Odhad ceny"),75,0)),IF(AND(Character!C$4="Hobit",OR(B35="Akrobacie",B35="Plížení",B35="Otevírání zámků",B35="Odstranění pasti")),10,IF(AND(Character!C$4="Kobold",B35="Stopování"),10,0)))))))+IF(AND(B35="Zpěv",TYPE(MATCH("Pěvec",Character!D$11:D$15,0))&lt;&gt;16),20,0)+IF(AND(OR(B35="Utužování",B35="Potlačení bolesti"),TYPE(MATCH("Tvrdá nátura",Character!D$11:D$15,0))&lt;&gt;16),20,0)+IF(AND(B35="Svádění",TYPE(MATCH("Svůdce",Character!D$11:D$15,0))&lt;&gt;16),20,0)+IF(AND(B35="Vnímavost",TYPE(MATCH("Akční hoch",Character!D$11:D$15,0))&lt;&gt;16),20,0)+IF(AND(B35="Vnímavost",TYPE(MATCH("Bystrozraký",Character!D$11:D$15,0))&lt;&gt;16),20,0)+IF(AND(B35="Plížení",TYPE(MATCH("Tichošlápek",Character!D$11:D$15,0))&lt;&gt;16),20,0)+IF(AND(OR(B35="Kradení",B35="Fixlování",B35="Kovářství",B35="Odstranění pasti",B35="Otevírání zámků",B35="Padělání",B35="Šití",B35="Tesařství a truhlářství"),TYPE(MATCH("Šikula",Character!D$11:D$15,0))&lt;&gt;16),10,0)+IF(AND(OR(B35="Zastraš nemrtvé",B35="Zastraš démony"),TYPE(MATCH("Exorcista",Character!D$11:D$15,0))&lt;&gt;16),20,0)+IF(AND(B35="Navigace",TYPE(MATCH("Světaznalý",Character!D$11:D$15,0))&lt;&gt;16),20,0)+IF(AND(OR(B35="Fixlování",B35="Kradení",B35="Převleky"),TYPE(MATCH("Herec",Character!D$11:D$15,0))&lt;&gt;16),15,0)+IF(AND(OR(B35="Přesvědčování",B35="Zastraš draky",B35="Zastraš lykantropy"),TYPE(MATCH("Řečník",Character!D$11:D$15,0))&lt;&gt;16),15,0)+IF(AND(OR(B35="Hra na hudební nástroj - strunné",B35="Hra na hudební nástroj - dechové",B35="Hra na hudební nástroj - bicí"),TYPE(MATCH("Hudebník",Character!D$11:D$15,0))&lt;&gt;16),20,0)+IF(AND(B35="Znalost rostlin",TYPE(MATCH("Botanik",Character!D$11:D$15,0))&lt;&gt;16),20,0)+IF(AND(B35="Detekce magie",TYPE(MATCH("Alergie na magii",Character!D$11:D$15,0))&lt;&gt;16),50,0)+IF(AND(OR(B35="Převleky",B35="Fixlování"),TYPE(MATCH("Podvodník",Character!D$11:D$15,0))&lt;&gt;16),30,0))</f>
        <v/>
      </c>
      <c r="I35" s="344" t="str">
        <f>IF(C35="","",IF(Stats!D$9="OK",0,IF(Stats!D$9="Mírně unavená",-5,IF(Stats!D$9="Unavená",-15,IF(Stats!D$9="Silně unavená",-30,IF(Stats!D$9="Vyčerpaná",-MAX(40,(C35+H35+E35)/2),"-----")))))+Combat!AF$13+Combat!AG$14)</f>
        <v/>
      </c>
      <c r="J35" s="373" t="str">
        <f>IF(C35="","",(C35+H35+IF(Character!C$4="Člověk",1.5*E35,E35)+I35)/IF(B35="Akrobacie",CHOOSE(MAX(Combat!AF$1:AF$5)+1,1,1,1,2,4,8),1)/IF(TYPE(MATCH("Nenávist bohů",Character!D$11:D$15,0))&lt;&gt;16,2,1)&amp;"%")</f>
        <v/>
      </c>
      <c r="K35" s="365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</row>
    <row r="36" spans="2:312">
      <c r="B36" s="9"/>
      <c r="C36" s="197" t="str">
        <f>IF(B36&lt;&gt;"",VLOOKUP(B36,'Perks &amp; Skills'!B$69:D$170,2),"")</f>
        <v/>
      </c>
      <c r="D36" s="197" t="str">
        <f>IF(B36&lt;&gt;"",VLOOKUP(B36,'Perks &amp; Skills'!B$69:D$170,3),"")</f>
        <v/>
      </c>
      <c r="E36" s="296"/>
      <c r="F36" s="450" t="str">
        <f>IF(C36="","",IF(AND(IF(AND(OR(MOD(C36,2)&lt;&gt;0,AND(Character!$C$4="Člověk", MOD(E36,2)&lt;&gt;0)),IF(Character!$C$4="Člověk",INT(E36*1.5),E36)=C36),0.5,MAX(INT((C36+IF(Character!$C$4="Člověk",E36*1.5,E36))/C36)-1,0.5))&gt;1,TYPE(MATCH("Učenlivý",Character!D$11:D$15,0))&lt;&gt;16),-1,0)+IF(AND(OR(MOD(C36,2)&lt;&gt;0,AND(Character!$C$4="Člověk", MOD(E36,2)&lt;&gt;0)),IF(Character!$C$4="Člověk",INT(E36*1.5),E36)=C36),0.5,MAX(INT((C36+IF(Character!$C$4="Člověk",E36*1.5,E36))/C36)-1,0.5)))</f>
        <v/>
      </c>
      <c r="G36" s="449"/>
      <c r="H36" s="197" t="str">
        <f>IF(B36="","",IF(AND(Character!C$4="Barbar",B36="Utužování"),10,IF(AND(Character!C$4="Lesní elf",B36="Cvičení zvířat"),10,IF(AND(Character!C$4="Temný elf",B36="Plížení"),10,IF(AND(Character!C$4="Trpaslík",OR(B36="Utužování",B36="Potlačení bolesti")),20,IF(Character!C$4="Gnóm",IF(B36="Stopování",50,IF(OR(B36="Znalost zbraní",B36="Odhad ceny"),75,0)),IF(AND(Character!C$4="Hobit",OR(B36="Akrobacie",B36="Plížení",B36="Otevírání zámků",B36="Odstranění pasti")),10,IF(AND(Character!C$4="Kobold",B36="Stopování"),10,0)))))))+IF(AND(B36="Zpěv",TYPE(MATCH("Pěvec",Character!D$11:D$15,0))&lt;&gt;16),20,0)+IF(AND(OR(B36="Utužování",B36="Potlačení bolesti"),TYPE(MATCH("Tvrdá nátura",Character!D$11:D$15,0))&lt;&gt;16),20,0)+IF(AND(B36="Svádění",TYPE(MATCH("Svůdce",Character!D$11:D$15,0))&lt;&gt;16),20,0)+IF(AND(B36="Vnímavost",TYPE(MATCH("Akční hoch",Character!D$11:D$15,0))&lt;&gt;16),20,0)+IF(AND(B36="Vnímavost",TYPE(MATCH("Bystrozraký",Character!D$11:D$15,0))&lt;&gt;16),20,0)+IF(AND(B36="Plížení",TYPE(MATCH("Tichošlápek",Character!D$11:D$15,0))&lt;&gt;16),20,0)+IF(AND(OR(B36="Kradení",B36="Fixlování",B36="Kovářství",B36="Odstranění pasti",B36="Otevírání zámků",B36="Padělání",B36="Šití",B36="Tesařství a truhlářství"),TYPE(MATCH("Šikula",Character!D$11:D$15,0))&lt;&gt;16),10,0)+IF(AND(OR(B36="Zastraš nemrtvé",B36="Zastraš démony"),TYPE(MATCH("Exorcista",Character!D$11:D$15,0))&lt;&gt;16),20,0)+IF(AND(B36="Navigace",TYPE(MATCH("Světaznalý",Character!D$11:D$15,0))&lt;&gt;16),20,0)+IF(AND(OR(B36="Fixlování",B36="Kradení",B36="Převleky"),TYPE(MATCH("Herec",Character!D$11:D$15,0))&lt;&gt;16),15,0)+IF(AND(OR(B36="Přesvědčování",B36="Zastraš draky",B36="Zastraš lykantropy"),TYPE(MATCH("Řečník",Character!D$11:D$15,0))&lt;&gt;16),15,0)+IF(AND(OR(B36="Hra na hudební nástroj - strunné",B36="Hra na hudební nástroj - dechové",B36="Hra na hudební nástroj - bicí"),TYPE(MATCH("Hudebník",Character!D$11:D$15,0))&lt;&gt;16),20,0)+IF(AND(B36="Znalost rostlin",TYPE(MATCH("Botanik",Character!D$11:D$15,0))&lt;&gt;16),20,0)+IF(AND(B36="Detekce magie",TYPE(MATCH("Alergie na magii",Character!D$11:D$15,0))&lt;&gt;16),50,0)+IF(AND(OR(B36="Převleky",B36="Fixlování"),TYPE(MATCH("Podvodník",Character!D$11:D$15,0))&lt;&gt;16),30,0))</f>
        <v/>
      </c>
      <c r="I36" s="344" t="str">
        <f>IF(C36="","",IF(Stats!D$9="OK",0,IF(Stats!D$9="Mírně unavená",-5,IF(Stats!D$9="Unavená",-15,IF(Stats!D$9="Silně unavená",-30,IF(Stats!D$9="Vyčerpaná",-MAX(40,(C36+H36+E36)/2),"-----")))))+Combat!AF$13+Combat!AG$14)</f>
        <v/>
      </c>
      <c r="J36" s="373" t="str">
        <f>IF(C36="","",(C36+H36+IF(Character!C$4="Člověk",1.5*E36,E36)+I36)/IF(B36="Akrobacie",CHOOSE(MAX(Combat!AF$1:AF$5)+1,1,1,1,2,4,8),1)/IF(TYPE(MATCH("Nenávist bohů",Character!D$11:D$15,0))&lt;&gt;16,2,1)&amp;"%")</f>
        <v/>
      </c>
      <c r="K36" s="365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</row>
    <row r="37" spans="2:312">
      <c r="B37" s="9"/>
      <c r="C37" s="197" t="str">
        <f>IF(B37&lt;&gt;"",VLOOKUP(B37,'Perks &amp; Skills'!B$69:D$170,2),"")</f>
        <v/>
      </c>
      <c r="D37" s="197" t="str">
        <f>IF(B37&lt;&gt;"",VLOOKUP(B37,'Perks &amp; Skills'!B$69:D$170,3),"")</f>
        <v/>
      </c>
      <c r="E37" s="296"/>
      <c r="F37" s="450" t="str">
        <f>IF(C37="","",IF(AND(IF(AND(OR(MOD(C37,2)&lt;&gt;0,AND(Character!$C$4="Člověk", MOD(E37,2)&lt;&gt;0)),IF(Character!$C$4="Člověk",INT(E37*1.5),E37)=C37),0.5,MAX(INT((C37+IF(Character!$C$4="Člověk",E37*1.5,E37))/C37)-1,0.5))&gt;1,TYPE(MATCH("Učenlivý",Character!D$11:D$15,0))&lt;&gt;16),-1,0)+IF(AND(OR(MOD(C37,2)&lt;&gt;0,AND(Character!$C$4="Člověk", MOD(E37,2)&lt;&gt;0)),IF(Character!$C$4="Člověk",INT(E37*1.5),E37)=C37),0.5,MAX(INT((C37+IF(Character!$C$4="Člověk",E37*1.5,E37))/C37)-1,0.5)))</f>
        <v/>
      </c>
      <c r="G37" s="449"/>
      <c r="H37" s="197" t="str">
        <f>IF(B37="","",IF(AND(Character!C$4="Barbar",B37="Utužování"),10,IF(AND(Character!C$4="Lesní elf",B37="Cvičení zvířat"),10,IF(AND(Character!C$4="Temný elf",B37="Plížení"),10,IF(AND(Character!C$4="Trpaslík",OR(B37="Utužování",B37="Potlačení bolesti")),20,IF(Character!C$4="Gnóm",IF(B37="Stopování",50,IF(OR(B37="Znalost zbraní",B37="Odhad ceny"),75,0)),IF(AND(Character!C$4="Hobit",OR(B37="Akrobacie",B37="Plížení",B37="Otevírání zámků",B37="Odstranění pasti")),10,IF(AND(Character!C$4="Kobold",B37="Stopování"),10,0)))))))+IF(AND(B37="Zpěv",TYPE(MATCH("Pěvec",Character!D$11:D$15,0))&lt;&gt;16),20,0)+IF(AND(OR(B37="Utužování",B37="Potlačení bolesti"),TYPE(MATCH("Tvrdá nátura",Character!D$11:D$15,0))&lt;&gt;16),20,0)+IF(AND(B37="Svádění",TYPE(MATCH("Svůdce",Character!D$11:D$15,0))&lt;&gt;16),20,0)+IF(AND(B37="Vnímavost",TYPE(MATCH("Akční hoch",Character!D$11:D$15,0))&lt;&gt;16),20,0)+IF(AND(B37="Vnímavost",TYPE(MATCH("Bystrozraký",Character!D$11:D$15,0))&lt;&gt;16),20,0)+IF(AND(B37="Plížení",TYPE(MATCH("Tichošlápek",Character!D$11:D$15,0))&lt;&gt;16),20,0)+IF(AND(OR(B37="Kradení",B37="Fixlování",B37="Kovářství",B37="Odstranění pasti",B37="Otevírání zámků",B37="Padělání",B37="Šití",B37="Tesařství a truhlářství"),TYPE(MATCH("Šikula",Character!D$11:D$15,0))&lt;&gt;16),10,0)+IF(AND(OR(B37="Zastraš nemrtvé",B37="Zastraš démony"),TYPE(MATCH("Exorcista",Character!D$11:D$15,0))&lt;&gt;16),20,0)+IF(AND(B37="Navigace",TYPE(MATCH("Světaznalý",Character!D$11:D$15,0))&lt;&gt;16),20,0)+IF(AND(OR(B37="Fixlování",B37="Kradení",B37="Převleky"),TYPE(MATCH("Herec",Character!D$11:D$15,0))&lt;&gt;16),15,0)+IF(AND(OR(B37="Přesvědčování",B37="Zastraš draky",B37="Zastraš lykantropy"),TYPE(MATCH("Řečník",Character!D$11:D$15,0))&lt;&gt;16),15,0)+IF(AND(OR(B37="Hra na hudební nástroj - strunné",B37="Hra na hudební nástroj - dechové",B37="Hra na hudební nástroj - bicí"),TYPE(MATCH("Hudebník",Character!D$11:D$15,0))&lt;&gt;16),20,0)+IF(AND(B37="Znalost rostlin",TYPE(MATCH("Botanik",Character!D$11:D$15,0))&lt;&gt;16),20,0)+IF(AND(B37="Detekce magie",TYPE(MATCH("Alergie na magii",Character!D$11:D$15,0))&lt;&gt;16),50,0)+IF(AND(OR(B37="Převleky",B37="Fixlování"),TYPE(MATCH("Podvodník",Character!D$11:D$15,0))&lt;&gt;16),30,0))</f>
        <v/>
      </c>
      <c r="I37" s="344" t="str">
        <f>IF(C37="","",IF(Stats!D$9="OK",0,IF(Stats!D$9="Mírně unavená",-5,IF(Stats!D$9="Unavená",-15,IF(Stats!D$9="Silně unavená",-30,IF(Stats!D$9="Vyčerpaná",-MAX(40,(C37+H37+E37)/2),"-----")))))+Combat!AF$13+Combat!AG$14)</f>
        <v/>
      </c>
      <c r="J37" s="373" t="str">
        <f>IF(C37="","",(C37+H37+IF(Character!C$4="Člověk",1.5*E37,E37)+I37)/IF(B37="Akrobacie",CHOOSE(MAX(Combat!AF$1:AF$5)+1,1,1,1,2,4,8),1)/IF(TYPE(MATCH("Nenávist bohů",Character!D$11:D$15,0))&lt;&gt;16,2,1)&amp;"%")</f>
        <v/>
      </c>
      <c r="K37" s="365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</row>
    <row r="38" spans="2:312">
      <c r="B38" s="9"/>
      <c r="C38" s="197" t="str">
        <f>IF(B38&lt;&gt;"",VLOOKUP(B38,'Perks &amp; Skills'!B$69:D$170,2),"")</f>
        <v/>
      </c>
      <c r="D38" s="197" t="str">
        <f>IF(B38&lt;&gt;"",VLOOKUP(B38,'Perks &amp; Skills'!B$69:D$170,3),"")</f>
        <v/>
      </c>
      <c r="E38" s="296"/>
      <c r="F38" s="450" t="str">
        <f>IF(C38="","",IF(AND(IF(AND(OR(MOD(C38,2)&lt;&gt;0,AND(Character!$C$4="Člověk", MOD(E38,2)&lt;&gt;0)),IF(Character!$C$4="Člověk",INT(E38*1.5),E38)=C38),0.5,MAX(INT((C38+IF(Character!$C$4="Člověk",E38*1.5,E38))/C38)-1,0.5))&gt;1,TYPE(MATCH("Učenlivý",Character!D$11:D$15,0))&lt;&gt;16),-1,0)+IF(AND(OR(MOD(C38,2)&lt;&gt;0,AND(Character!$C$4="Člověk", MOD(E38,2)&lt;&gt;0)),IF(Character!$C$4="Člověk",INT(E38*1.5),E38)=C38),0.5,MAX(INT((C38+IF(Character!$C$4="Člověk",E38*1.5,E38))/C38)-1,0.5)))</f>
        <v/>
      </c>
      <c r="G38" s="449"/>
      <c r="H38" s="197" t="str">
        <f>IF(B38="","",IF(AND(Character!C$4="Barbar",B38="Utužování"),10,IF(AND(Character!C$4="Lesní elf",B38="Cvičení zvířat"),10,IF(AND(Character!C$4="Temný elf",B38="Plížení"),10,IF(AND(Character!C$4="Trpaslík",OR(B38="Utužování",B38="Potlačení bolesti")),20,IF(Character!C$4="Gnóm",IF(B38="Stopování",50,IF(OR(B38="Znalost zbraní",B38="Odhad ceny"),75,0)),IF(AND(Character!C$4="Hobit",OR(B38="Akrobacie",B38="Plížení",B38="Otevírání zámků",B38="Odstranění pasti")),10,IF(AND(Character!C$4="Kobold",B38="Stopování"),10,0)))))))+IF(AND(B38="Zpěv",TYPE(MATCH("Pěvec",Character!D$11:D$15,0))&lt;&gt;16),20,0)+IF(AND(OR(B38="Utužování",B38="Potlačení bolesti"),TYPE(MATCH("Tvrdá nátura",Character!D$11:D$15,0))&lt;&gt;16),20,0)+IF(AND(B38="Svádění",TYPE(MATCH("Svůdce",Character!D$11:D$15,0))&lt;&gt;16),20,0)+IF(AND(B38="Vnímavost",TYPE(MATCH("Akční hoch",Character!D$11:D$15,0))&lt;&gt;16),20,0)+IF(AND(B38="Vnímavost",TYPE(MATCH("Bystrozraký",Character!D$11:D$15,0))&lt;&gt;16),20,0)+IF(AND(B38="Plížení",TYPE(MATCH("Tichošlápek",Character!D$11:D$15,0))&lt;&gt;16),20,0)+IF(AND(OR(B38="Kradení",B38="Fixlování",B38="Kovářství",B38="Odstranění pasti",B38="Otevírání zámků",B38="Padělání",B38="Šití",B38="Tesařství a truhlářství"),TYPE(MATCH("Šikula",Character!D$11:D$15,0))&lt;&gt;16),10,0)+IF(AND(OR(B38="Zastraš nemrtvé",B38="Zastraš démony"),TYPE(MATCH("Exorcista",Character!D$11:D$15,0))&lt;&gt;16),20,0)+IF(AND(B38="Navigace",TYPE(MATCH("Světaznalý",Character!D$11:D$15,0))&lt;&gt;16),20,0)+IF(AND(OR(B38="Fixlování",B38="Kradení",B38="Převleky"),TYPE(MATCH("Herec",Character!D$11:D$15,0))&lt;&gt;16),15,0)+IF(AND(OR(B38="Přesvědčování",B38="Zastraš draky",B38="Zastraš lykantropy"),TYPE(MATCH("Řečník",Character!D$11:D$15,0))&lt;&gt;16),15,0)+IF(AND(OR(B38="Hra na hudební nástroj - strunné",B38="Hra na hudební nástroj - dechové",B38="Hra na hudební nástroj - bicí"),TYPE(MATCH("Hudebník",Character!D$11:D$15,0))&lt;&gt;16),20,0)+IF(AND(B38="Znalost rostlin",TYPE(MATCH("Botanik",Character!D$11:D$15,0))&lt;&gt;16),20,0)+IF(AND(B38="Detekce magie",TYPE(MATCH("Alergie na magii",Character!D$11:D$15,0))&lt;&gt;16),50,0)+IF(AND(OR(B38="Převleky",B38="Fixlování"),TYPE(MATCH("Podvodník",Character!D$11:D$15,0))&lt;&gt;16),30,0))</f>
        <v/>
      </c>
      <c r="I38" s="344" t="str">
        <f>IF(C38="","",IF(Stats!D$9="OK",0,IF(Stats!D$9="Mírně unavená",-5,IF(Stats!D$9="Unavená",-15,IF(Stats!D$9="Silně unavená",-30,IF(Stats!D$9="Vyčerpaná",-MAX(40,(C38+H38+E38)/2),"-----")))))+Combat!AF$13+Combat!AG$14)</f>
        <v/>
      </c>
      <c r="J38" s="373" t="str">
        <f>IF(C38="","",(C38+H38+IF(Character!C$4="Člověk",1.5*E38,E38)+I38)/IF(B38="Akrobacie",CHOOSE(MAX(Combat!AF$1:AF$5)+1,1,1,1,2,4,8),1)/IF(TYPE(MATCH("Nenávist bohů",Character!D$11:D$15,0))&lt;&gt;16,2,1)&amp;"%")</f>
        <v/>
      </c>
      <c r="K38" s="365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</row>
    <row r="39" spans="2:312">
      <c r="B39" s="9"/>
      <c r="C39" s="197" t="str">
        <f>IF(B39&lt;&gt;"",VLOOKUP(B39,'Perks &amp; Skills'!B$69:D$170,2),"")</f>
        <v/>
      </c>
      <c r="D39" s="197" t="str">
        <f>IF(B39&lt;&gt;"",VLOOKUP(B39,'Perks &amp; Skills'!B$69:D$170,3),"")</f>
        <v/>
      </c>
      <c r="E39" s="296"/>
      <c r="F39" s="450" t="str">
        <f>IF(C39="","",IF(AND(IF(AND(OR(MOD(C39,2)&lt;&gt;0,AND(Character!$C$4="Člověk", MOD(E39,2)&lt;&gt;0)),IF(Character!$C$4="Člověk",INT(E39*1.5),E39)=C39),0.5,MAX(INT((C39+IF(Character!$C$4="Člověk",E39*1.5,E39))/C39)-1,0.5))&gt;1,TYPE(MATCH("Učenlivý",Character!D$11:D$15,0))&lt;&gt;16),-1,0)+IF(AND(OR(MOD(C39,2)&lt;&gt;0,AND(Character!$C$4="Člověk", MOD(E39,2)&lt;&gt;0)),IF(Character!$C$4="Člověk",INT(E39*1.5),E39)=C39),0.5,MAX(INT((C39+IF(Character!$C$4="Člověk",E39*1.5,E39))/C39)-1,0.5)))</f>
        <v/>
      </c>
      <c r="G39" s="449"/>
      <c r="H39" s="197" t="str">
        <f>IF(B39="","",IF(AND(Character!C$4="Barbar",B39="Utužování"),10,IF(AND(Character!C$4="Lesní elf",B39="Cvičení zvířat"),10,IF(AND(Character!C$4="Temný elf",B39="Plížení"),10,IF(AND(Character!C$4="Trpaslík",OR(B39="Utužování",B39="Potlačení bolesti")),20,IF(Character!C$4="Gnóm",IF(B39="Stopování",50,IF(OR(B39="Znalost zbraní",B39="Odhad ceny"),75,0)),IF(AND(Character!C$4="Hobit",OR(B39="Akrobacie",B39="Plížení",B39="Otevírání zámků",B39="Odstranění pasti")),10,IF(AND(Character!C$4="Kobold",B39="Stopování"),10,0)))))))+IF(AND(B39="Zpěv",TYPE(MATCH("Pěvec",Character!D$11:D$15,0))&lt;&gt;16),20,0)+IF(AND(OR(B39="Utužování",B39="Potlačení bolesti"),TYPE(MATCH("Tvrdá nátura",Character!D$11:D$15,0))&lt;&gt;16),20,0)+IF(AND(B39="Svádění",TYPE(MATCH("Svůdce",Character!D$11:D$15,0))&lt;&gt;16),20,0)+IF(AND(B39="Vnímavost",TYPE(MATCH("Akční hoch",Character!D$11:D$15,0))&lt;&gt;16),20,0)+IF(AND(B39="Vnímavost",TYPE(MATCH("Bystrozraký",Character!D$11:D$15,0))&lt;&gt;16),20,0)+IF(AND(B39="Plížení",TYPE(MATCH("Tichošlápek",Character!D$11:D$15,0))&lt;&gt;16),20,0)+IF(AND(OR(B39="Kradení",B39="Fixlování",B39="Kovářství",B39="Odstranění pasti",B39="Otevírání zámků",B39="Padělání",B39="Šití",B39="Tesařství a truhlářství"),TYPE(MATCH("Šikula",Character!D$11:D$15,0))&lt;&gt;16),10,0)+IF(AND(OR(B39="Zastraš nemrtvé",B39="Zastraš démony"),TYPE(MATCH("Exorcista",Character!D$11:D$15,0))&lt;&gt;16),20,0)+IF(AND(B39="Navigace",TYPE(MATCH("Světaznalý",Character!D$11:D$15,0))&lt;&gt;16),20,0)+IF(AND(OR(B39="Fixlování",B39="Kradení",B39="Převleky"),TYPE(MATCH("Herec",Character!D$11:D$15,0))&lt;&gt;16),15,0)+IF(AND(OR(B39="Přesvědčování",B39="Zastraš draky",B39="Zastraš lykantropy"),TYPE(MATCH("Řečník",Character!D$11:D$15,0))&lt;&gt;16),15,0)+IF(AND(OR(B39="Hra na hudební nástroj - strunné",B39="Hra na hudební nástroj - dechové",B39="Hra na hudební nástroj - bicí"),TYPE(MATCH("Hudebník",Character!D$11:D$15,0))&lt;&gt;16),20,0)+IF(AND(B39="Znalost rostlin",TYPE(MATCH("Botanik",Character!D$11:D$15,0))&lt;&gt;16),20,0)+IF(AND(B39="Detekce magie",TYPE(MATCH("Alergie na magii",Character!D$11:D$15,0))&lt;&gt;16),50,0)+IF(AND(OR(B39="Převleky",B39="Fixlování"),TYPE(MATCH("Podvodník",Character!D$11:D$15,0))&lt;&gt;16),30,0))</f>
        <v/>
      </c>
      <c r="I39" s="344" t="str">
        <f>IF(C39="","",IF(Stats!D$9="OK",0,IF(Stats!D$9="Mírně unavená",-5,IF(Stats!D$9="Unavená",-15,IF(Stats!D$9="Silně unavená",-30,IF(Stats!D$9="Vyčerpaná",-MAX(40,(C39+H39+E39)/2),"-----")))))+Combat!AF$13+Combat!AG$14)</f>
        <v/>
      </c>
      <c r="J39" s="373" t="str">
        <f>IF(C39="","",(C39+H39+IF(Character!C$4="Člověk",1.5*E39,E39)+I39)/IF(B39="Akrobacie",CHOOSE(MAX(Combat!AF$1:AF$5)+1,1,1,1,2,4,8),1)/IF(TYPE(MATCH("Nenávist bohů",Character!D$11:D$15,0))&lt;&gt;16,2,1)&amp;"%")</f>
        <v/>
      </c>
      <c r="K39" s="365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</row>
    <row r="40" spans="2:312">
      <c r="B40" s="9"/>
      <c r="C40" s="197" t="str">
        <f>IF(B40&lt;&gt;"",VLOOKUP(B40,'Perks &amp; Skills'!B$69:D$170,2),"")</f>
        <v/>
      </c>
      <c r="D40" s="197" t="str">
        <f>IF(B40&lt;&gt;"",VLOOKUP(B40,'Perks &amp; Skills'!B$69:D$170,3),"")</f>
        <v/>
      </c>
      <c r="E40" s="296"/>
      <c r="F40" s="450" t="str">
        <f>IF(C40="","",IF(AND(IF(AND(OR(MOD(C40,2)&lt;&gt;0,AND(Character!$C$4="Člověk", MOD(E40,2)&lt;&gt;0)),IF(Character!$C$4="Člověk",INT(E40*1.5),E40)=C40),0.5,MAX(INT((C40+IF(Character!$C$4="Člověk",E40*1.5,E40))/C40)-1,0.5))&gt;1,TYPE(MATCH("Učenlivý",Character!D$11:D$15,0))&lt;&gt;16),-1,0)+IF(AND(OR(MOD(C40,2)&lt;&gt;0,AND(Character!$C$4="Člověk", MOD(E40,2)&lt;&gt;0)),IF(Character!$C$4="Člověk",INT(E40*1.5),E40)=C40),0.5,MAX(INT((C40+IF(Character!$C$4="Člověk",E40*1.5,E40))/C40)-1,0.5)))</f>
        <v/>
      </c>
      <c r="G40" s="449"/>
      <c r="H40" s="197" t="str">
        <f>IF(B40="","",IF(AND(Character!C$4="Barbar",B40="Utužování"),10,IF(AND(Character!C$4="Lesní elf",B40="Cvičení zvířat"),10,IF(AND(Character!C$4="Temný elf",B40="Plížení"),10,IF(AND(Character!C$4="Trpaslík",OR(B40="Utužování",B40="Potlačení bolesti")),20,IF(Character!C$4="Gnóm",IF(B40="Stopování",50,IF(OR(B40="Znalost zbraní",B40="Odhad ceny"),75,0)),IF(AND(Character!C$4="Hobit",OR(B40="Akrobacie",B40="Plížení",B40="Otevírání zámků",B40="Odstranění pasti")),10,IF(AND(Character!C$4="Kobold",B40="Stopování"),10,0)))))))+IF(AND(B40="Zpěv",TYPE(MATCH("Pěvec",Character!D$11:D$15,0))&lt;&gt;16),20,0)+IF(AND(OR(B40="Utužování",B40="Potlačení bolesti"),TYPE(MATCH("Tvrdá nátura",Character!D$11:D$15,0))&lt;&gt;16),20,0)+IF(AND(B40="Svádění",TYPE(MATCH("Svůdce",Character!D$11:D$15,0))&lt;&gt;16),20,0)+IF(AND(B40="Vnímavost",TYPE(MATCH("Akční hoch",Character!D$11:D$15,0))&lt;&gt;16),20,0)+IF(AND(B40="Vnímavost",TYPE(MATCH("Bystrozraký",Character!D$11:D$15,0))&lt;&gt;16),20,0)+IF(AND(B40="Plížení",TYPE(MATCH("Tichošlápek",Character!D$11:D$15,0))&lt;&gt;16),20,0)+IF(AND(OR(B40="Kradení",B40="Fixlování",B40="Kovářství",B40="Odstranění pasti",B40="Otevírání zámků",B40="Padělání",B40="Šití",B40="Tesařství a truhlářství"),TYPE(MATCH("Šikula",Character!D$11:D$15,0))&lt;&gt;16),10,0)+IF(AND(OR(B40="Zastraš nemrtvé",B40="Zastraš démony"),TYPE(MATCH("Exorcista",Character!D$11:D$15,0))&lt;&gt;16),20,0)+IF(AND(B40="Navigace",TYPE(MATCH("Světaznalý",Character!D$11:D$15,0))&lt;&gt;16),20,0)+IF(AND(OR(B40="Fixlování",B40="Kradení",B40="Převleky"),TYPE(MATCH("Herec",Character!D$11:D$15,0))&lt;&gt;16),15,0)+IF(AND(OR(B40="Přesvědčování",B40="Zastraš draky",B40="Zastraš lykantropy"),TYPE(MATCH("Řečník",Character!D$11:D$15,0))&lt;&gt;16),15,0)+IF(AND(OR(B40="Hra na hudební nástroj - strunné",B40="Hra na hudební nástroj - dechové",B40="Hra na hudební nástroj - bicí"),TYPE(MATCH("Hudebník",Character!D$11:D$15,0))&lt;&gt;16),20,0)+IF(AND(B40="Znalost rostlin",TYPE(MATCH("Botanik",Character!D$11:D$15,0))&lt;&gt;16),20,0)+IF(AND(B40="Detekce magie",TYPE(MATCH("Alergie na magii",Character!D$11:D$15,0))&lt;&gt;16),50,0)+IF(AND(OR(B40="Převleky",B40="Fixlování"),TYPE(MATCH("Podvodník",Character!D$11:D$15,0))&lt;&gt;16),30,0))</f>
        <v/>
      </c>
      <c r="I40" s="344" t="str">
        <f>IF(C40="","",IF(Stats!D$9="OK",0,IF(Stats!D$9="Mírně unavená",-5,IF(Stats!D$9="Unavená",-15,IF(Stats!D$9="Silně unavená",-30,IF(Stats!D$9="Vyčerpaná",-MAX(40,(C40+H40+E40)/2),"-----")))))+Combat!AF$13+Combat!AG$14)</f>
        <v/>
      </c>
      <c r="J40" s="373" t="str">
        <f>IF(C40="","",(C40+H40+IF(Character!C$4="Člověk",1.5*E40,E40)+I40)/IF(B40="Akrobacie",CHOOSE(MAX(Combat!AF$1:AF$5)+1,1,1,1,2,4,8),1)/IF(TYPE(MATCH("Nenávist bohů",Character!D$11:D$15,0))&lt;&gt;16,2,1)&amp;"%")</f>
        <v/>
      </c>
      <c r="K40" s="365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</row>
    <row r="41" spans="2:312">
      <c r="B41" s="9"/>
      <c r="C41" s="197" t="str">
        <f>IF(B41&lt;&gt;"",VLOOKUP(B41,'Perks &amp; Skills'!B$69:D$170,2),"")</f>
        <v/>
      </c>
      <c r="D41" s="197" t="str">
        <f>IF(B41&lt;&gt;"",VLOOKUP(B41,'Perks &amp; Skills'!B$69:D$170,3),"")</f>
        <v/>
      </c>
      <c r="E41" s="296"/>
      <c r="F41" s="450" t="str">
        <f>IF(C41="","",IF(AND(IF(AND(OR(MOD(C41,2)&lt;&gt;0,AND(Character!$C$4="Člověk", MOD(E41,2)&lt;&gt;0)),IF(Character!$C$4="Člověk",INT(E41*1.5),E41)=C41),0.5,MAX(INT((C41+IF(Character!$C$4="Člověk",E41*1.5,E41))/C41)-1,0.5))&gt;1,TYPE(MATCH("Učenlivý",Character!D$11:D$15,0))&lt;&gt;16),-1,0)+IF(AND(OR(MOD(C41,2)&lt;&gt;0,AND(Character!$C$4="Člověk", MOD(E41,2)&lt;&gt;0)),IF(Character!$C$4="Člověk",INT(E41*1.5),E41)=C41),0.5,MAX(INT((C41+IF(Character!$C$4="Člověk",E41*1.5,E41))/C41)-1,0.5)))</f>
        <v/>
      </c>
      <c r="G41" s="449"/>
      <c r="H41" s="197" t="str">
        <f>IF(B41="","",IF(AND(Character!C$4="Barbar",B41="Utužování"),10,IF(AND(Character!C$4="Lesní elf",B41="Cvičení zvířat"),10,IF(AND(Character!C$4="Temný elf",B41="Plížení"),10,IF(AND(Character!C$4="Trpaslík",OR(B41="Utužování",B41="Potlačení bolesti")),20,IF(Character!C$4="Gnóm",IF(B41="Stopování",50,IF(OR(B41="Znalost zbraní",B41="Odhad ceny"),75,0)),IF(AND(Character!C$4="Hobit",OR(B41="Akrobacie",B41="Plížení",B41="Otevírání zámků",B41="Odstranění pasti")),10,IF(AND(Character!C$4="Kobold",B41="Stopování"),10,0)))))))+IF(AND(B41="Zpěv",TYPE(MATCH("Pěvec",Character!D$11:D$15,0))&lt;&gt;16),20,0)+IF(AND(OR(B41="Utužování",B41="Potlačení bolesti"),TYPE(MATCH("Tvrdá nátura",Character!D$11:D$15,0))&lt;&gt;16),20,0)+IF(AND(B41="Svádění",TYPE(MATCH("Svůdce",Character!D$11:D$15,0))&lt;&gt;16),20,0)+IF(AND(B41="Vnímavost",TYPE(MATCH("Akční hoch",Character!D$11:D$15,0))&lt;&gt;16),20,0)+IF(AND(B41="Vnímavost",TYPE(MATCH("Bystrozraký",Character!D$11:D$15,0))&lt;&gt;16),20,0)+IF(AND(B41="Plížení",TYPE(MATCH("Tichošlápek",Character!D$11:D$15,0))&lt;&gt;16),20,0)+IF(AND(OR(B41="Kradení",B41="Fixlování",B41="Kovářství",B41="Odstranění pasti",B41="Otevírání zámků",B41="Padělání",B41="Šití",B41="Tesařství a truhlářství"),TYPE(MATCH("Šikula",Character!D$11:D$15,0))&lt;&gt;16),10,0)+IF(AND(OR(B41="Zastraš nemrtvé",B41="Zastraš démony"),TYPE(MATCH("Exorcista",Character!D$11:D$15,0))&lt;&gt;16),20,0)+IF(AND(B41="Navigace",TYPE(MATCH("Světaznalý",Character!D$11:D$15,0))&lt;&gt;16),20,0)+IF(AND(OR(B41="Fixlování",B41="Kradení",B41="Převleky"),TYPE(MATCH("Herec",Character!D$11:D$15,0))&lt;&gt;16),15,0)+IF(AND(OR(B41="Přesvědčování",B41="Zastraš draky",B41="Zastraš lykantropy"),TYPE(MATCH("Řečník",Character!D$11:D$15,0))&lt;&gt;16),15,0)+IF(AND(OR(B41="Hra na hudební nástroj - strunné",B41="Hra na hudební nástroj - dechové",B41="Hra na hudební nástroj - bicí"),TYPE(MATCH("Hudebník",Character!D$11:D$15,0))&lt;&gt;16),20,0)+IF(AND(B41="Znalost rostlin",TYPE(MATCH("Botanik",Character!D$11:D$15,0))&lt;&gt;16),20,0)+IF(AND(B41="Detekce magie",TYPE(MATCH("Alergie na magii",Character!D$11:D$15,0))&lt;&gt;16),50,0)+IF(AND(OR(B41="Převleky",B41="Fixlování"),TYPE(MATCH("Podvodník",Character!D$11:D$15,0))&lt;&gt;16),30,0))</f>
        <v/>
      </c>
      <c r="I41" s="344" t="str">
        <f>IF(C41="","",IF(Stats!D$9="OK",0,IF(Stats!D$9="Mírně unavená",-5,IF(Stats!D$9="Unavená",-15,IF(Stats!D$9="Silně unavená",-30,IF(Stats!D$9="Vyčerpaná",-MAX(40,(C41+H41+E41)/2),"-----")))))+Combat!AF$13+Combat!AG$14)</f>
        <v/>
      </c>
      <c r="J41" s="373" t="str">
        <f>IF(C41="","",(C41+H41+IF(Character!C$4="Člověk",1.5*E41,E41)+I41)/IF(B41="Akrobacie",CHOOSE(MAX(Combat!AF$1:AF$5)+1,1,1,1,2,4,8),1)/IF(TYPE(MATCH("Nenávist bohů",Character!D$11:D$15,0))&lt;&gt;16,2,1)&amp;"%")</f>
        <v/>
      </c>
      <c r="K41" s="365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</row>
    <row r="42" spans="2:312">
      <c r="B42" s="9"/>
      <c r="C42" s="197" t="str">
        <f>IF(B42&lt;&gt;"",VLOOKUP(B42,'Perks &amp; Skills'!B$69:D$170,2),"")</f>
        <v/>
      </c>
      <c r="D42" s="197" t="str">
        <f>IF(B42&lt;&gt;"",VLOOKUP(B42,'Perks &amp; Skills'!B$69:D$170,3),"")</f>
        <v/>
      </c>
      <c r="E42" s="296"/>
      <c r="F42" s="450" t="str">
        <f>IF(C42="","",IF(AND(IF(AND(OR(MOD(C42,2)&lt;&gt;0,AND(Character!$C$4="Člověk", MOD(E42,2)&lt;&gt;0)),IF(Character!$C$4="Člověk",INT(E42*1.5),E42)=C42),0.5,MAX(INT((C42+IF(Character!$C$4="Člověk",E42*1.5,E42))/C42)-1,0.5))&gt;1,TYPE(MATCH("Učenlivý",Character!D$11:D$15,0))&lt;&gt;16),-1,0)+IF(AND(OR(MOD(C42,2)&lt;&gt;0,AND(Character!$C$4="Člověk", MOD(E42,2)&lt;&gt;0)),IF(Character!$C$4="Člověk",INT(E42*1.5),E42)=C42),0.5,MAX(INT((C42+IF(Character!$C$4="Člověk",E42*1.5,E42))/C42)-1,0.5)))</f>
        <v/>
      </c>
      <c r="G42" s="449"/>
      <c r="H42" s="197" t="str">
        <f>IF(B42="","",IF(AND(Character!C$4="Barbar",B42="Utužování"),10,IF(AND(Character!C$4="Lesní elf",B42="Cvičení zvířat"),10,IF(AND(Character!C$4="Temný elf",B42="Plížení"),10,IF(AND(Character!C$4="Trpaslík",OR(B42="Utužování",B42="Potlačení bolesti")),20,IF(Character!C$4="Gnóm",IF(B42="Stopování",50,IF(OR(B42="Znalost zbraní",B42="Odhad ceny"),75,0)),IF(AND(Character!C$4="Hobit",OR(B42="Akrobacie",B42="Plížení",B42="Otevírání zámků",B42="Odstranění pasti")),10,IF(AND(Character!C$4="Kobold",B42="Stopování"),10,0)))))))+IF(AND(B42="Zpěv",TYPE(MATCH("Pěvec",Character!D$11:D$15,0))&lt;&gt;16),20,0)+IF(AND(OR(B42="Utužování",B42="Potlačení bolesti"),TYPE(MATCH("Tvrdá nátura",Character!D$11:D$15,0))&lt;&gt;16),20,0)+IF(AND(B42="Svádění",TYPE(MATCH("Svůdce",Character!D$11:D$15,0))&lt;&gt;16),20,0)+IF(AND(B42="Vnímavost",TYPE(MATCH("Akční hoch",Character!D$11:D$15,0))&lt;&gt;16),20,0)+IF(AND(B42="Vnímavost",TYPE(MATCH("Bystrozraký",Character!D$11:D$15,0))&lt;&gt;16),20,0)+IF(AND(B42="Plížení",TYPE(MATCH("Tichošlápek",Character!D$11:D$15,0))&lt;&gt;16),20,0)+IF(AND(OR(B42="Kradení",B42="Fixlování",B42="Kovářství",B42="Odstranění pasti",B42="Otevírání zámků",B42="Padělání",B42="Šití",B42="Tesařství a truhlářství"),TYPE(MATCH("Šikula",Character!D$11:D$15,0))&lt;&gt;16),10,0)+IF(AND(OR(B42="Zastraš nemrtvé",B42="Zastraš démony"),TYPE(MATCH("Exorcista",Character!D$11:D$15,0))&lt;&gt;16),20,0)+IF(AND(B42="Navigace",TYPE(MATCH("Světaznalý",Character!D$11:D$15,0))&lt;&gt;16),20,0)+IF(AND(OR(B42="Fixlování",B42="Kradení",B42="Převleky"),TYPE(MATCH("Herec",Character!D$11:D$15,0))&lt;&gt;16),15,0)+IF(AND(OR(B42="Přesvědčování",B42="Zastraš draky",B42="Zastraš lykantropy"),TYPE(MATCH("Řečník",Character!D$11:D$15,0))&lt;&gt;16),15,0)+IF(AND(OR(B42="Hra na hudební nástroj - strunné",B42="Hra na hudební nástroj - dechové",B42="Hra na hudební nástroj - bicí"),TYPE(MATCH("Hudebník",Character!D$11:D$15,0))&lt;&gt;16),20,0)+IF(AND(B42="Znalost rostlin",TYPE(MATCH("Botanik",Character!D$11:D$15,0))&lt;&gt;16),20,0)+IF(AND(B42="Detekce magie",TYPE(MATCH("Alergie na magii",Character!D$11:D$15,0))&lt;&gt;16),50,0)+IF(AND(OR(B42="Převleky",B42="Fixlování"),TYPE(MATCH("Podvodník",Character!D$11:D$15,0))&lt;&gt;16),30,0))</f>
        <v/>
      </c>
      <c r="I42" s="344" t="str">
        <f>IF(C42="","",IF(Stats!D$9="OK",0,IF(Stats!D$9="Mírně unavená",-5,IF(Stats!D$9="Unavená",-15,IF(Stats!D$9="Silně unavená",-30,IF(Stats!D$9="Vyčerpaná",-MAX(40,(C42+H42+E42)/2),"-----")))))+Combat!AF$13+Combat!AG$14)</f>
        <v/>
      </c>
      <c r="J42" s="373" t="str">
        <f>IF(C42="","",(C42+H42+IF(Character!C$4="Člověk",1.5*E42,E42)+I42)/IF(B42="Akrobacie",CHOOSE(MAX(Combat!AF$1:AF$5)+1,1,1,1,2,4,8),1)/IF(TYPE(MATCH("Nenávist bohů",Character!D$11:D$15,0))&lt;&gt;16,2,1)&amp;"%")</f>
        <v/>
      </c>
      <c r="K42" s="36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</row>
    <row r="43" spans="2:312">
      <c r="B43" s="9"/>
      <c r="C43" s="197" t="str">
        <f>IF(B43&lt;&gt;"",VLOOKUP(B43,'Perks &amp; Skills'!B$69:D$170,2),"")</f>
        <v/>
      </c>
      <c r="D43" s="197" t="str">
        <f>IF(B43&lt;&gt;"",VLOOKUP(B43,'Perks &amp; Skills'!B$69:D$170,3),"")</f>
        <v/>
      </c>
      <c r="E43" s="296"/>
      <c r="F43" s="450" t="str">
        <f>IF(C43="","",IF(AND(IF(AND(OR(MOD(C43,2)&lt;&gt;0,AND(Character!$C$4="Člověk", MOD(E43,2)&lt;&gt;0)),IF(Character!$C$4="Člověk",INT(E43*1.5),E43)=C43),0.5,MAX(INT((C43+IF(Character!$C$4="Člověk",E43*1.5,E43))/C43)-1,0.5))&gt;1,TYPE(MATCH("Učenlivý",Character!D$11:D$15,0))&lt;&gt;16),-1,0)+IF(AND(OR(MOD(C43,2)&lt;&gt;0,AND(Character!$C$4="Člověk", MOD(E43,2)&lt;&gt;0)),IF(Character!$C$4="Člověk",INT(E43*1.5),E43)=C43),0.5,MAX(INT((C43+IF(Character!$C$4="Člověk",E43*1.5,E43))/C43)-1,0.5)))</f>
        <v/>
      </c>
      <c r="G43" s="449"/>
      <c r="H43" s="197" t="str">
        <f>IF(B43="","",IF(AND(Character!C$4="Barbar",B43="Utužování"),10,IF(AND(Character!C$4="Lesní elf",B43="Cvičení zvířat"),10,IF(AND(Character!C$4="Temný elf",B43="Plížení"),10,IF(AND(Character!C$4="Trpaslík",OR(B43="Utužování",B43="Potlačení bolesti")),20,IF(Character!C$4="Gnóm",IF(B43="Stopování",50,IF(OR(B43="Znalost zbraní",B43="Odhad ceny"),75,0)),IF(AND(Character!C$4="Hobit",OR(B43="Akrobacie",B43="Plížení",B43="Otevírání zámků",B43="Odstranění pasti")),10,IF(AND(Character!C$4="Kobold",B43="Stopování"),10,0)))))))+IF(AND(B43="Zpěv",TYPE(MATCH("Pěvec",Character!D$11:D$15,0))&lt;&gt;16),20,0)+IF(AND(OR(B43="Utužování",B43="Potlačení bolesti"),TYPE(MATCH("Tvrdá nátura",Character!D$11:D$15,0))&lt;&gt;16),20,0)+IF(AND(B43="Svádění",TYPE(MATCH("Svůdce",Character!D$11:D$15,0))&lt;&gt;16),20,0)+IF(AND(B43="Vnímavost",TYPE(MATCH("Akční hoch",Character!D$11:D$15,0))&lt;&gt;16),20,0)+IF(AND(B43="Vnímavost",TYPE(MATCH("Bystrozraký",Character!D$11:D$15,0))&lt;&gt;16),20,0)+IF(AND(B43="Plížení",TYPE(MATCH("Tichošlápek",Character!D$11:D$15,0))&lt;&gt;16),20,0)+IF(AND(OR(B43="Kradení",B43="Fixlování",B43="Kovářství",B43="Odstranění pasti",B43="Otevírání zámků",B43="Padělání",B43="Šití",B43="Tesařství a truhlářství"),TYPE(MATCH("Šikula",Character!D$11:D$15,0))&lt;&gt;16),10,0)+IF(AND(OR(B43="Zastraš nemrtvé",B43="Zastraš démony"),TYPE(MATCH("Exorcista",Character!D$11:D$15,0))&lt;&gt;16),20,0)+IF(AND(B43="Navigace",TYPE(MATCH("Světaznalý",Character!D$11:D$15,0))&lt;&gt;16),20,0)+IF(AND(OR(B43="Fixlování",B43="Kradení",B43="Převleky"),TYPE(MATCH("Herec",Character!D$11:D$15,0))&lt;&gt;16),15,0)+IF(AND(OR(B43="Přesvědčování",B43="Zastraš draky",B43="Zastraš lykantropy"),TYPE(MATCH("Řečník",Character!D$11:D$15,0))&lt;&gt;16),15,0)+IF(AND(OR(B43="Hra na hudební nástroj - strunné",B43="Hra na hudební nástroj - dechové",B43="Hra na hudební nástroj - bicí"),TYPE(MATCH("Hudebník",Character!D$11:D$15,0))&lt;&gt;16),20,0)+IF(AND(B43="Znalost rostlin",TYPE(MATCH("Botanik",Character!D$11:D$15,0))&lt;&gt;16),20,0)+IF(AND(B43="Detekce magie",TYPE(MATCH("Alergie na magii",Character!D$11:D$15,0))&lt;&gt;16),50,0)+IF(AND(OR(B43="Převleky",B43="Fixlování"),TYPE(MATCH("Podvodník",Character!D$11:D$15,0))&lt;&gt;16),30,0))</f>
        <v/>
      </c>
      <c r="I43" s="344" t="str">
        <f>IF(C43="","",IF(Stats!D$9="OK",0,IF(Stats!D$9="Mírně unavená",-5,IF(Stats!D$9="Unavená",-15,IF(Stats!D$9="Silně unavená",-30,IF(Stats!D$9="Vyčerpaná",-MAX(40,(C43+H43+E43)/2),"-----")))))+Combat!AF$13+Combat!AG$14)</f>
        <v/>
      </c>
      <c r="J43" s="373" t="str">
        <f>IF(C43="","",(C43+H43+IF(Character!C$4="Člověk",1.5*E43,E43)+I43)/IF(B43="Akrobacie",CHOOSE(MAX(Combat!AF$1:AF$5)+1,1,1,1,2,4,8),1)/IF(TYPE(MATCH("Nenávist bohů",Character!D$11:D$15,0))&lt;&gt;16,2,1)&amp;"%")</f>
        <v/>
      </c>
      <c r="K43" s="365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</row>
    <row r="44" spans="2:312">
      <c r="B44" s="9"/>
      <c r="C44" s="197" t="str">
        <f>IF(B44&lt;&gt;"",VLOOKUP(B44,'Perks &amp; Skills'!B$69:D$170,2),"")</f>
        <v/>
      </c>
      <c r="D44" s="197" t="str">
        <f>IF(B44&lt;&gt;"",VLOOKUP(B44,'Perks &amp; Skills'!B$69:D$170,3),"")</f>
        <v/>
      </c>
      <c r="E44" s="296"/>
      <c r="F44" s="450" t="str">
        <f>IF(C44="","",IF(AND(IF(AND(OR(MOD(C44,2)&lt;&gt;0,AND(Character!$C$4="Člověk", MOD(E44,2)&lt;&gt;0)),IF(Character!$C$4="Člověk",INT(E44*1.5),E44)=C44),0.5,MAX(INT((C44+IF(Character!$C$4="Člověk",E44*1.5,E44))/C44)-1,0.5))&gt;1,TYPE(MATCH("Učenlivý",Character!D$11:D$15,0))&lt;&gt;16),-1,0)+IF(AND(OR(MOD(C44,2)&lt;&gt;0,AND(Character!$C$4="Člověk", MOD(E44,2)&lt;&gt;0)),IF(Character!$C$4="Člověk",INT(E44*1.5),E44)=C44),0.5,MAX(INT((C44+IF(Character!$C$4="Člověk",E44*1.5,E44))/C44)-1,0.5)))</f>
        <v/>
      </c>
      <c r="G44" s="449"/>
      <c r="H44" s="197" t="str">
        <f>IF(B44="","",IF(AND(Character!C$4="Barbar",B44="Utužování"),10,IF(AND(Character!C$4="Lesní elf",B44="Cvičení zvířat"),10,IF(AND(Character!C$4="Temný elf",B44="Plížení"),10,IF(AND(Character!C$4="Trpaslík",OR(B44="Utužování",B44="Potlačení bolesti")),20,IF(Character!C$4="Gnóm",IF(B44="Stopování",50,IF(OR(B44="Znalost zbraní",B44="Odhad ceny"),75,0)),IF(AND(Character!C$4="Hobit",OR(B44="Akrobacie",B44="Plížení",B44="Otevírání zámků",B44="Odstranění pasti")),10,IF(AND(Character!C$4="Kobold",B44="Stopování"),10,0)))))))+IF(AND(B44="Zpěv",TYPE(MATCH("Pěvec",Character!D$11:D$15,0))&lt;&gt;16),20,0)+IF(AND(OR(B44="Utužování",B44="Potlačení bolesti"),TYPE(MATCH("Tvrdá nátura",Character!D$11:D$15,0))&lt;&gt;16),20,0)+IF(AND(B44="Svádění",TYPE(MATCH("Svůdce",Character!D$11:D$15,0))&lt;&gt;16),20,0)+IF(AND(B44="Vnímavost",TYPE(MATCH("Akční hoch",Character!D$11:D$15,0))&lt;&gt;16),20,0)+IF(AND(B44="Vnímavost",TYPE(MATCH("Bystrozraký",Character!D$11:D$15,0))&lt;&gt;16),20,0)+IF(AND(B44="Plížení",TYPE(MATCH("Tichošlápek",Character!D$11:D$15,0))&lt;&gt;16),20,0)+IF(AND(OR(B44="Kradení",B44="Fixlování",B44="Kovářství",B44="Odstranění pasti",B44="Otevírání zámků",B44="Padělání",B44="Šití",B44="Tesařství a truhlářství"),TYPE(MATCH("Šikula",Character!D$11:D$15,0))&lt;&gt;16),10,0)+IF(AND(OR(B44="Zastraš nemrtvé",B44="Zastraš démony"),TYPE(MATCH("Exorcista",Character!D$11:D$15,0))&lt;&gt;16),20,0)+IF(AND(B44="Navigace",TYPE(MATCH("Světaznalý",Character!D$11:D$15,0))&lt;&gt;16),20,0)+IF(AND(OR(B44="Fixlování",B44="Kradení",B44="Převleky"),TYPE(MATCH("Herec",Character!D$11:D$15,0))&lt;&gt;16),15,0)+IF(AND(OR(B44="Přesvědčování",B44="Zastraš draky",B44="Zastraš lykantropy"),TYPE(MATCH("Řečník",Character!D$11:D$15,0))&lt;&gt;16),15,0)+IF(AND(OR(B44="Hra na hudební nástroj - strunné",B44="Hra na hudební nástroj - dechové",B44="Hra na hudební nástroj - bicí"),TYPE(MATCH("Hudebník",Character!D$11:D$15,0))&lt;&gt;16),20,0)+IF(AND(B44="Znalost rostlin",TYPE(MATCH("Botanik",Character!D$11:D$15,0))&lt;&gt;16),20,0)+IF(AND(B44="Detekce magie",TYPE(MATCH("Alergie na magii",Character!D$11:D$15,0))&lt;&gt;16),50,0)+IF(AND(OR(B44="Převleky",B44="Fixlování"),TYPE(MATCH("Podvodník",Character!D$11:D$15,0))&lt;&gt;16),30,0))</f>
        <v/>
      </c>
      <c r="I44" s="344" t="str">
        <f>IF(C44="","",IF(Stats!D$9="OK",0,IF(Stats!D$9="Mírně unavená",-5,IF(Stats!D$9="Unavená",-15,IF(Stats!D$9="Silně unavená",-30,IF(Stats!D$9="Vyčerpaná",-MAX(40,(C44+H44+E44)/2),"-----")))))+Combat!AF$13+Combat!AG$14)</f>
        <v/>
      </c>
      <c r="J44" s="373" t="str">
        <f>IF(C44="","",(C44+H44+IF(Character!C$4="Člověk",1.5*E44,E44)+I44)/IF(B44="Akrobacie",CHOOSE(MAX(Combat!AF$1:AF$5)+1,1,1,1,2,4,8),1)/IF(TYPE(MATCH("Nenávist bohů",Character!D$11:D$15,0))&lt;&gt;16,2,1)&amp;"%")</f>
        <v/>
      </c>
      <c r="K44" s="365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</row>
    <row r="45" spans="2:312">
      <c r="B45" s="9"/>
      <c r="C45" s="197" t="str">
        <f>IF(B45&lt;&gt;"",VLOOKUP(B45,'Perks &amp; Skills'!B$69:D$170,2),"")</f>
        <v/>
      </c>
      <c r="D45" s="197" t="str">
        <f>IF(B45&lt;&gt;"",VLOOKUP(B45,'Perks &amp; Skills'!B$69:D$170,3),"")</f>
        <v/>
      </c>
      <c r="E45" s="296"/>
      <c r="F45" s="450" t="str">
        <f>IF(C45="","",IF(AND(IF(AND(OR(MOD(C45,2)&lt;&gt;0,AND(Character!$C$4="Člověk", MOD(E45,2)&lt;&gt;0)),IF(Character!$C$4="Člověk",INT(E45*1.5),E45)=C45),0.5,MAX(INT((C45+IF(Character!$C$4="Člověk",E45*1.5,E45))/C45)-1,0.5))&gt;1,TYPE(MATCH("Učenlivý",Character!D$11:D$15,0))&lt;&gt;16),-1,0)+IF(AND(OR(MOD(C45,2)&lt;&gt;0,AND(Character!$C$4="Člověk", MOD(E45,2)&lt;&gt;0)),IF(Character!$C$4="Člověk",INT(E45*1.5),E45)=C45),0.5,MAX(INT((C45+IF(Character!$C$4="Člověk",E45*1.5,E45))/C45)-1,0.5)))</f>
        <v/>
      </c>
      <c r="G45" s="449"/>
      <c r="H45" s="197" t="str">
        <f>IF(B45="","",IF(AND(Character!C$4="Barbar",B45="Utužování"),10,IF(AND(Character!C$4="Lesní elf",B45="Cvičení zvířat"),10,IF(AND(Character!C$4="Temný elf",B45="Plížení"),10,IF(AND(Character!C$4="Trpaslík",OR(B45="Utužování",B45="Potlačení bolesti")),20,IF(Character!C$4="Gnóm",IF(B45="Stopování",50,IF(OR(B45="Znalost zbraní",B45="Odhad ceny"),75,0)),IF(AND(Character!C$4="Hobit",OR(B45="Akrobacie",B45="Plížení",B45="Otevírání zámků",B45="Odstranění pasti")),10,IF(AND(Character!C$4="Kobold",B45="Stopování"),10,0)))))))+IF(AND(B45="Zpěv",TYPE(MATCH("Pěvec",Character!D$11:D$15,0))&lt;&gt;16),20,0)+IF(AND(OR(B45="Utužování",B45="Potlačení bolesti"),TYPE(MATCH("Tvrdá nátura",Character!D$11:D$15,0))&lt;&gt;16),20,0)+IF(AND(B45="Svádění",TYPE(MATCH("Svůdce",Character!D$11:D$15,0))&lt;&gt;16),20,0)+IF(AND(B45="Vnímavost",TYPE(MATCH("Akční hoch",Character!D$11:D$15,0))&lt;&gt;16),20,0)+IF(AND(B45="Vnímavost",TYPE(MATCH("Bystrozraký",Character!D$11:D$15,0))&lt;&gt;16),20,0)+IF(AND(B45="Plížení",TYPE(MATCH("Tichošlápek",Character!D$11:D$15,0))&lt;&gt;16),20,0)+IF(AND(OR(B45="Kradení",B45="Fixlování",B45="Kovářství",B45="Odstranění pasti",B45="Otevírání zámků",B45="Padělání",B45="Šití",B45="Tesařství a truhlářství"),TYPE(MATCH("Šikula",Character!D$11:D$15,0))&lt;&gt;16),10,0)+IF(AND(OR(B45="Zastraš nemrtvé",B45="Zastraš démony"),TYPE(MATCH("Exorcista",Character!D$11:D$15,0))&lt;&gt;16),20,0)+IF(AND(B45="Navigace",TYPE(MATCH("Světaznalý",Character!D$11:D$15,0))&lt;&gt;16),20,0)+IF(AND(OR(B45="Fixlování",B45="Kradení",B45="Převleky"),TYPE(MATCH("Herec",Character!D$11:D$15,0))&lt;&gt;16),15,0)+IF(AND(OR(B45="Přesvědčování",B45="Zastraš draky",B45="Zastraš lykantropy"),TYPE(MATCH("Řečník",Character!D$11:D$15,0))&lt;&gt;16),15,0)+IF(AND(OR(B45="Hra na hudební nástroj - strunné",B45="Hra na hudební nástroj - dechové",B45="Hra na hudební nástroj - bicí"),TYPE(MATCH("Hudebník",Character!D$11:D$15,0))&lt;&gt;16),20,0)+IF(AND(B45="Znalost rostlin",TYPE(MATCH("Botanik",Character!D$11:D$15,0))&lt;&gt;16),20,0)+IF(AND(B45="Detekce magie",TYPE(MATCH("Alergie na magii",Character!D$11:D$15,0))&lt;&gt;16),50,0)+IF(AND(OR(B45="Převleky",B45="Fixlování"),TYPE(MATCH("Podvodník",Character!D$11:D$15,0))&lt;&gt;16),30,0))</f>
        <v/>
      </c>
      <c r="I45" s="344" t="str">
        <f>IF(C45="","",IF(Stats!D$9="OK",0,IF(Stats!D$9="Mírně unavená",-5,IF(Stats!D$9="Unavená",-15,IF(Stats!D$9="Silně unavená",-30,IF(Stats!D$9="Vyčerpaná",-MAX(40,(C45+H45+E45)/2),"-----")))))+Combat!AF$13+Combat!AG$14)</f>
        <v/>
      </c>
      <c r="J45" s="373" t="str">
        <f>IF(C45="","",(C45+H45+IF(Character!C$4="Člověk",1.5*E45,E45)+I45)/IF(B45="Akrobacie",CHOOSE(MAX(Combat!AF$1:AF$5)+1,1,1,1,2,4,8),1)/IF(TYPE(MATCH("Nenávist bohů",Character!D$11:D$15,0))&lt;&gt;16,2,1)&amp;"%")</f>
        <v/>
      </c>
      <c r="K45" s="365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</row>
    <row r="46" spans="2:312">
      <c r="B46" s="9"/>
      <c r="C46" s="197" t="str">
        <f>IF(B46&lt;&gt;"",VLOOKUP(B46,'Perks &amp; Skills'!B$69:D$170,2),"")</f>
        <v/>
      </c>
      <c r="D46" s="197" t="str">
        <f>IF(B46&lt;&gt;"",VLOOKUP(B46,'Perks &amp; Skills'!B$69:D$170,3),"")</f>
        <v/>
      </c>
      <c r="E46" s="296"/>
      <c r="F46" s="450" t="str">
        <f>IF(C46="","",IF(AND(IF(AND(OR(MOD(C46,2)&lt;&gt;0,AND(Character!$C$4="Člověk", MOD(E46,2)&lt;&gt;0)),IF(Character!$C$4="Člověk",INT(E46*1.5),E46)=C46),0.5,MAX(INT((C46+IF(Character!$C$4="Člověk",E46*1.5,E46))/C46)-1,0.5))&gt;1,TYPE(MATCH("Učenlivý",Character!D$11:D$15,0))&lt;&gt;16),-1,0)+IF(AND(OR(MOD(C46,2)&lt;&gt;0,AND(Character!$C$4="Člověk", MOD(E46,2)&lt;&gt;0)),IF(Character!$C$4="Člověk",INT(E46*1.5),E46)=C46),0.5,MAX(INT((C46+IF(Character!$C$4="Člověk",E46*1.5,E46))/C46)-1,0.5)))</f>
        <v/>
      </c>
      <c r="G46" s="449"/>
      <c r="H46" s="197" t="str">
        <f>IF(B46="","",IF(AND(Character!C$4="Barbar",B46="Utužování"),10,IF(AND(Character!C$4="Lesní elf",B46="Cvičení zvířat"),10,IF(AND(Character!C$4="Temný elf",B46="Plížení"),10,IF(AND(Character!C$4="Trpaslík",OR(B46="Utužování",B46="Potlačení bolesti")),20,IF(Character!C$4="Gnóm",IF(B46="Stopování",50,IF(OR(B46="Znalost zbraní",B46="Odhad ceny"),75,0)),IF(AND(Character!C$4="Hobit",OR(B46="Akrobacie",B46="Plížení",B46="Otevírání zámků",B46="Odstranění pasti")),10,IF(AND(Character!C$4="Kobold",B46="Stopování"),10,0)))))))+IF(AND(B46="Zpěv",TYPE(MATCH("Pěvec",Character!D$11:D$15,0))&lt;&gt;16),20,0)+IF(AND(OR(B46="Utužování",B46="Potlačení bolesti"),TYPE(MATCH("Tvrdá nátura",Character!D$11:D$15,0))&lt;&gt;16),20,0)+IF(AND(B46="Svádění",TYPE(MATCH("Svůdce",Character!D$11:D$15,0))&lt;&gt;16),20,0)+IF(AND(B46="Vnímavost",TYPE(MATCH("Akční hoch",Character!D$11:D$15,0))&lt;&gt;16),20,0)+IF(AND(B46="Vnímavost",TYPE(MATCH("Bystrozraký",Character!D$11:D$15,0))&lt;&gt;16),20,0)+IF(AND(B46="Plížení",TYPE(MATCH("Tichošlápek",Character!D$11:D$15,0))&lt;&gt;16),20,0)+IF(AND(OR(B46="Kradení",B46="Fixlování",B46="Kovářství",B46="Odstranění pasti",B46="Otevírání zámků",B46="Padělání",B46="Šití",B46="Tesařství a truhlářství"),TYPE(MATCH("Šikula",Character!D$11:D$15,0))&lt;&gt;16),10,0)+IF(AND(OR(B46="Zastraš nemrtvé",B46="Zastraš démony"),TYPE(MATCH("Exorcista",Character!D$11:D$15,0))&lt;&gt;16),20,0)+IF(AND(B46="Navigace",TYPE(MATCH("Světaznalý",Character!D$11:D$15,0))&lt;&gt;16),20,0)+IF(AND(OR(B46="Fixlování",B46="Kradení",B46="Převleky"),TYPE(MATCH("Herec",Character!D$11:D$15,0))&lt;&gt;16),15,0)+IF(AND(OR(B46="Přesvědčování",B46="Zastraš draky",B46="Zastraš lykantropy"),TYPE(MATCH("Řečník",Character!D$11:D$15,0))&lt;&gt;16),15,0)+IF(AND(OR(B46="Hra na hudební nástroj - strunné",B46="Hra na hudební nástroj - dechové",B46="Hra na hudební nástroj - bicí"),TYPE(MATCH("Hudebník",Character!D$11:D$15,0))&lt;&gt;16),20,0)+IF(AND(B46="Znalost rostlin",TYPE(MATCH("Botanik",Character!D$11:D$15,0))&lt;&gt;16),20,0)+IF(AND(B46="Detekce magie",TYPE(MATCH("Alergie na magii",Character!D$11:D$15,0))&lt;&gt;16),50,0)+IF(AND(OR(B46="Převleky",B46="Fixlování"),TYPE(MATCH("Podvodník",Character!D$11:D$15,0))&lt;&gt;16),30,0))</f>
        <v/>
      </c>
      <c r="I46" s="344" t="str">
        <f>IF(C46="","",IF(Stats!D$9="OK",0,IF(Stats!D$9="Mírně unavená",-5,IF(Stats!D$9="Unavená",-15,IF(Stats!D$9="Silně unavená",-30,IF(Stats!D$9="Vyčerpaná",-MAX(40,(C46+H46+E46)/2),"-----")))))+Combat!AF$13+Combat!AG$14)</f>
        <v/>
      </c>
      <c r="J46" s="373" t="str">
        <f>IF(C46="","",(C46+H46+IF(Character!C$4="Člověk",1.5*E46,E46)+I46)/IF(B46="Akrobacie",CHOOSE(MAX(Combat!AF$1:AF$5)+1,1,1,1,2,4,8),1)/IF(TYPE(MATCH("Nenávist bohů",Character!D$11:D$15,0))&lt;&gt;16,2,1)&amp;"%")</f>
        <v/>
      </c>
      <c r="K46" s="365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</row>
    <row r="47" spans="2:312">
      <c r="B47" s="9"/>
      <c r="C47" s="197" t="str">
        <f>IF(B47&lt;&gt;"",VLOOKUP(B47,'Perks &amp; Skills'!B$69:D$170,2),"")</f>
        <v/>
      </c>
      <c r="D47" s="197" t="str">
        <f>IF(B47&lt;&gt;"",VLOOKUP(B47,'Perks &amp; Skills'!B$69:D$170,3),"")</f>
        <v/>
      </c>
      <c r="E47" s="296"/>
      <c r="F47" s="450" t="str">
        <f>IF(C47="","",IF(AND(IF(AND(OR(MOD(C47,2)&lt;&gt;0,AND(Character!$C$4="Člověk", MOD(E47,2)&lt;&gt;0)),IF(Character!$C$4="Člověk",INT(E47*1.5),E47)=C47),0.5,MAX(INT((C47+IF(Character!$C$4="Člověk",E47*1.5,E47))/C47)-1,0.5))&gt;1,TYPE(MATCH("Učenlivý",Character!D$11:D$15,0))&lt;&gt;16),-1,0)+IF(AND(OR(MOD(C47,2)&lt;&gt;0,AND(Character!$C$4="Člověk", MOD(E47,2)&lt;&gt;0)),IF(Character!$C$4="Člověk",INT(E47*1.5),E47)=C47),0.5,MAX(INT((C47+IF(Character!$C$4="Člověk",E47*1.5,E47))/C47)-1,0.5)))</f>
        <v/>
      </c>
      <c r="G47" s="449"/>
      <c r="H47" s="197" t="str">
        <f>IF(B47="","",IF(AND(Character!C$4="Barbar",B47="Utužování"),10,IF(AND(Character!C$4="Lesní elf",B47="Cvičení zvířat"),10,IF(AND(Character!C$4="Temný elf",B47="Plížení"),10,IF(AND(Character!C$4="Trpaslík",OR(B47="Utužování",B47="Potlačení bolesti")),20,IF(Character!C$4="Gnóm",IF(B47="Stopování",50,IF(OR(B47="Znalost zbraní",B47="Odhad ceny"),75,0)),IF(AND(Character!C$4="Hobit",OR(B47="Akrobacie",B47="Plížení",B47="Otevírání zámků",B47="Odstranění pasti")),10,IF(AND(Character!C$4="Kobold",B47="Stopování"),10,0)))))))+IF(AND(B47="Zpěv",TYPE(MATCH("Pěvec",Character!D$11:D$15,0))&lt;&gt;16),20,0)+IF(AND(OR(B47="Utužování",B47="Potlačení bolesti"),TYPE(MATCH("Tvrdá nátura",Character!D$11:D$15,0))&lt;&gt;16),20,0)+IF(AND(B47="Svádění",TYPE(MATCH("Svůdce",Character!D$11:D$15,0))&lt;&gt;16),20,0)+IF(AND(B47="Vnímavost",TYPE(MATCH("Akční hoch",Character!D$11:D$15,0))&lt;&gt;16),20,0)+IF(AND(B47="Vnímavost",TYPE(MATCH("Bystrozraký",Character!D$11:D$15,0))&lt;&gt;16),20,0)+IF(AND(B47="Plížení",TYPE(MATCH("Tichošlápek",Character!D$11:D$15,0))&lt;&gt;16),20,0)+IF(AND(OR(B47="Kradení",B47="Fixlování",B47="Kovářství",B47="Odstranění pasti",B47="Otevírání zámků",B47="Padělání",B47="Šití",B47="Tesařství a truhlářství"),TYPE(MATCH("Šikula",Character!D$11:D$15,0))&lt;&gt;16),10,0)+IF(AND(OR(B47="Zastraš nemrtvé",B47="Zastraš démony"),TYPE(MATCH("Exorcista",Character!D$11:D$15,0))&lt;&gt;16),20,0)+IF(AND(B47="Navigace",TYPE(MATCH("Světaznalý",Character!D$11:D$15,0))&lt;&gt;16),20,0)+IF(AND(OR(B47="Fixlování",B47="Kradení",B47="Převleky"),TYPE(MATCH("Herec",Character!D$11:D$15,0))&lt;&gt;16),15,0)+IF(AND(OR(B47="Přesvědčování",B47="Zastraš draky",B47="Zastraš lykantropy"),TYPE(MATCH("Řečník",Character!D$11:D$15,0))&lt;&gt;16),15,0)+IF(AND(OR(B47="Hra na hudební nástroj - strunné",B47="Hra na hudební nástroj - dechové",B47="Hra na hudební nástroj - bicí"),TYPE(MATCH("Hudebník",Character!D$11:D$15,0))&lt;&gt;16),20,0)+IF(AND(B47="Znalost rostlin",TYPE(MATCH("Botanik",Character!D$11:D$15,0))&lt;&gt;16),20,0)+IF(AND(B47="Detekce magie",TYPE(MATCH("Alergie na magii",Character!D$11:D$15,0))&lt;&gt;16),50,0)+IF(AND(OR(B47="Převleky",B47="Fixlování"),TYPE(MATCH("Podvodník",Character!D$11:D$15,0))&lt;&gt;16),30,0))</f>
        <v/>
      </c>
      <c r="I47" s="344" t="str">
        <f>IF(C47="","",IF(Stats!D$9="OK",0,IF(Stats!D$9="Mírně unavená",-5,IF(Stats!D$9="Unavená",-15,IF(Stats!D$9="Silně unavená",-30,IF(Stats!D$9="Vyčerpaná",-MAX(40,(C47+H47+E47)/2),"-----")))))+Combat!AF$13+Combat!AG$14)</f>
        <v/>
      </c>
      <c r="J47" s="373" t="str">
        <f>IF(C47="","",(C47+H47+IF(Character!C$4="Člověk",1.5*E47,E47)+I47)/IF(B47="Akrobacie",CHOOSE(MAX(Combat!AF$1:AF$5)+1,1,1,1,2,4,8),1)/IF(TYPE(MATCH("Nenávist bohů",Character!D$11:D$15,0))&lt;&gt;16,2,1)&amp;"%")</f>
        <v/>
      </c>
      <c r="K47" s="365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</row>
    <row r="48" spans="2:312">
      <c r="B48" s="9"/>
      <c r="C48" s="197" t="str">
        <f>IF(B48&lt;&gt;"",VLOOKUP(B48,'Perks &amp; Skills'!B$69:D$170,2),"")</f>
        <v/>
      </c>
      <c r="D48" s="197" t="str">
        <f>IF(B48&lt;&gt;"",VLOOKUP(B48,'Perks &amp; Skills'!B$69:D$170,3),"")</f>
        <v/>
      </c>
      <c r="E48" s="296"/>
      <c r="F48" s="450" t="str">
        <f>IF(C48="","",IF(AND(IF(AND(OR(MOD(C48,2)&lt;&gt;0,AND(Character!$C$4="Člověk", MOD(E48,2)&lt;&gt;0)),IF(Character!$C$4="Člověk",INT(E48*1.5),E48)=C48),0.5,MAX(INT((C48+IF(Character!$C$4="Člověk",E48*1.5,E48))/C48)-1,0.5))&gt;1,TYPE(MATCH("Učenlivý",Character!D$11:D$15,0))&lt;&gt;16),-1,0)+IF(AND(OR(MOD(C48,2)&lt;&gt;0,AND(Character!$C$4="Člověk", MOD(E48,2)&lt;&gt;0)),IF(Character!$C$4="Člověk",INT(E48*1.5),E48)=C48),0.5,MAX(INT((C48+IF(Character!$C$4="Člověk",E48*1.5,E48))/C48)-1,0.5)))</f>
        <v/>
      </c>
      <c r="G48" s="449"/>
      <c r="H48" s="197" t="str">
        <f>IF(B48="","",IF(AND(Character!C$4="Barbar",B48="Utužování"),10,IF(AND(Character!C$4="Lesní elf",B48="Cvičení zvířat"),10,IF(AND(Character!C$4="Temný elf",B48="Plížení"),10,IF(AND(Character!C$4="Trpaslík",OR(B48="Utužování",B48="Potlačení bolesti")),20,IF(Character!C$4="Gnóm",IF(B48="Stopování",50,IF(OR(B48="Znalost zbraní",B48="Odhad ceny"),75,0)),IF(AND(Character!C$4="Hobit",OR(B48="Akrobacie",B48="Plížení",B48="Otevírání zámků",B48="Odstranění pasti")),10,IF(AND(Character!C$4="Kobold",B48="Stopování"),10,0)))))))+IF(AND(B48="Zpěv",TYPE(MATCH("Pěvec",Character!D$11:D$15,0))&lt;&gt;16),20,0)+IF(AND(OR(B48="Utužování",B48="Potlačení bolesti"),TYPE(MATCH("Tvrdá nátura",Character!D$11:D$15,0))&lt;&gt;16),20,0)+IF(AND(B48="Svádění",TYPE(MATCH("Svůdce",Character!D$11:D$15,0))&lt;&gt;16),20,0)+IF(AND(B48="Vnímavost",TYPE(MATCH("Akční hoch",Character!D$11:D$15,0))&lt;&gt;16),20,0)+IF(AND(B48="Vnímavost",TYPE(MATCH("Bystrozraký",Character!D$11:D$15,0))&lt;&gt;16),20,0)+IF(AND(B48="Plížení",TYPE(MATCH("Tichošlápek",Character!D$11:D$15,0))&lt;&gt;16),20,0)+IF(AND(OR(B48="Kradení",B48="Fixlování",B48="Kovářství",B48="Odstranění pasti",B48="Otevírání zámků",B48="Padělání",B48="Šití",B48="Tesařství a truhlářství"),TYPE(MATCH("Šikula",Character!D$11:D$15,0))&lt;&gt;16),10,0)+IF(AND(OR(B48="Zastraš nemrtvé",B48="Zastraš démony"),TYPE(MATCH("Exorcista",Character!D$11:D$15,0))&lt;&gt;16),20,0)+IF(AND(B48="Navigace",TYPE(MATCH("Světaznalý",Character!D$11:D$15,0))&lt;&gt;16),20,0)+IF(AND(OR(B48="Fixlování",B48="Kradení",B48="Převleky"),TYPE(MATCH("Herec",Character!D$11:D$15,0))&lt;&gt;16),15,0)+IF(AND(OR(B48="Přesvědčování",B48="Zastraš draky",B48="Zastraš lykantropy"),TYPE(MATCH("Řečník",Character!D$11:D$15,0))&lt;&gt;16),15,0)+IF(AND(OR(B48="Hra na hudební nástroj - strunné",B48="Hra na hudební nástroj - dechové",B48="Hra na hudební nástroj - bicí"),TYPE(MATCH("Hudebník",Character!D$11:D$15,0))&lt;&gt;16),20,0)+IF(AND(B48="Znalost rostlin",TYPE(MATCH("Botanik",Character!D$11:D$15,0))&lt;&gt;16),20,0)+IF(AND(B48="Detekce magie",TYPE(MATCH("Alergie na magii",Character!D$11:D$15,0))&lt;&gt;16),50,0)+IF(AND(OR(B48="Převleky",B48="Fixlování"),TYPE(MATCH("Podvodník",Character!D$11:D$15,0))&lt;&gt;16),30,0))</f>
        <v/>
      </c>
      <c r="I48" s="344" t="str">
        <f>IF(C48="","",IF(Stats!D$9="OK",0,IF(Stats!D$9="Mírně unavená",-5,IF(Stats!D$9="Unavená",-15,IF(Stats!D$9="Silně unavená",-30,IF(Stats!D$9="Vyčerpaná",-MAX(40,(C48+H48+E48)/2),"-----")))))+Combat!AF$13+Combat!AG$14)</f>
        <v/>
      </c>
      <c r="J48" s="373" t="str">
        <f>IF(C48="","",(C48+H48+IF(Character!C$4="Člověk",1.5*E48,E48)+I48)/IF(B48="Akrobacie",CHOOSE(MAX(Combat!AF$1:AF$5)+1,1,1,1,2,4,8),1)/IF(TYPE(MATCH("Nenávist bohů",Character!D$11:D$15,0))&lt;&gt;16,2,1)&amp;"%")</f>
        <v/>
      </c>
      <c r="K48" s="365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</row>
    <row r="49" spans="2:312">
      <c r="B49" s="9"/>
      <c r="C49" s="197" t="str">
        <f>IF(B49&lt;&gt;"",VLOOKUP(B49,'Perks &amp; Skills'!B$69:D$170,2),"")</f>
        <v/>
      </c>
      <c r="D49" s="197" t="str">
        <f>IF(B49&lt;&gt;"",VLOOKUP(B49,'Perks &amp; Skills'!B$69:D$170,3),"")</f>
        <v/>
      </c>
      <c r="E49" s="296"/>
      <c r="F49" s="450" t="str">
        <f>IF(C49="","",IF(AND(IF(AND(OR(MOD(C49,2)&lt;&gt;0,AND(Character!$C$4="Člověk", MOD(E49,2)&lt;&gt;0)),IF(Character!$C$4="Člověk",INT(E49*1.5),E49)=C49),0.5,MAX(INT((C49+IF(Character!$C$4="Člověk",E49*1.5,E49))/C49)-1,0.5))&gt;1,TYPE(MATCH("Učenlivý",Character!D$11:D$15,0))&lt;&gt;16),-1,0)+IF(AND(OR(MOD(C49,2)&lt;&gt;0,AND(Character!$C$4="Člověk", MOD(E49,2)&lt;&gt;0)),IF(Character!$C$4="Člověk",INT(E49*1.5),E49)=C49),0.5,MAX(INT((C49+IF(Character!$C$4="Člověk",E49*1.5,E49))/C49)-1,0.5)))</f>
        <v/>
      </c>
      <c r="G49" s="449"/>
      <c r="H49" s="197" t="str">
        <f>IF(B49="","",IF(AND(Character!C$4="Barbar",B49="Utužování"),10,IF(AND(Character!C$4="Lesní elf",B49="Cvičení zvířat"),10,IF(AND(Character!C$4="Temný elf",B49="Plížení"),10,IF(AND(Character!C$4="Trpaslík",OR(B49="Utužování",B49="Potlačení bolesti")),20,IF(Character!C$4="Gnóm",IF(B49="Stopování",50,IF(OR(B49="Znalost zbraní",B49="Odhad ceny"),75,0)),IF(AND(Character!C$4="Hobit",OR(B49="Akrobacie",B49="Plížení",B49="Otevírání zámků",B49="Odstranění pasti")),10,IF(AND(Character!C$4="Kobold",B49="Stopování"),10,0)))))))+IF(AND(B49="Zpěv",TYPE(MATCH("Pěvec",Character!D$11:D$15,0))&lt;&gt;16),20,0)+IF(AND(OR(B49="Utužování",B49="Potlačení bolesti"),TYPE(MATCH("Tvrdá nátura",Character!D$11:D$15,0))&lt;&gt;16),20,0)+IF(AND(B49="Svádění",TYPE(MATCH("Svůdce",Character!D$11:D$15,0))&lt;&gt;16),20,0)+IF(AND(B49="Vnímavost",TYPE(MATCH("Akční hoch",Character!D$11:D$15,0))&lt;&gt;16),20,0)+IF(AND(B49="Vnímavost",TYPE(MATCH("Bystrozraký",Character!D$11:D$15,0))&lt;&gt;16),20,0)+IF(AND(B49="Plížení",TYPE(MATCH("Tichošlápek",Character!D$11:D$15,0))&lt;&gt;16),20,0)+IF(AND(OR(B49="Kradení",B49="Fixlování",B49="Kovářství",B49="Odstranění pasti",B49="Otevírání zámků",B49="Padělání",B49="Šití",B49="Tesařství a truhlářství"),TYPE(MATCH("Šikula",Character!D$11:D$15,0))&lt;&gt;16),10,0)+IF(AND(OR(B49="Zastraš nemrtvé",B49="Zastraš démony"),TYPE(MATCH("Exorcista",Character!D$11:D$15,0))&lt;&gt;16),20,0)+IF(AND(B49="Navigace",TYPE(MATCH("Světaznalý",Character!D$11:D$15,0))&lt;&gt;16),20,0)+IF(AND(OR(B49="Fixlování",B49="Kradení",B49="Převleky"),TYPE(MATCH("Herec",Character!D$11:D$15,0))&lt;&gt;16),15,0)+IF(AND(OR(B49="Přesvědčování",B49="Zastraš draky",B49="Zastraš lykantropy"),TYPE(MATCH("Řečník",Character!D$11:D$15,0))&lt;&gt;16),15,0)+IF(AND(OR(B49="Hra na hudební nástroj - strunné",B49="Hra na hudební nástroj - dechové",B49="Hra na hudební nástroj - bicí"),TYPE(MATCH("Hudebník",Character!D$11:D$15,0))&lt;&gt;16),20,0)+IF(AND(B49="Znalost rostlin",TYPE(MATCH("Botanik",Character!D$11:D$15,0))&lt;&gt;16),20,0)+IF(AND(B49="Detekce magie",TYPE(MATCH("Alergie na magii",Character!D$11:D$15,0))&lt;&gt;16),50,0)+IF(AND(OR(B49="Převleky",B49="Fixlování"),TYPE(MATCH("Podvodník",Character!D$11:D$15,0))&lt;&gt;16),30,0))</f>
        <v/>
      </c>
      <c r="I49" s="344" t="str">
        <f>IF(C49="","",IF(Stats!D$9="OK",0,IF(Stats!D$9="Mírně unavená",-5,IF(Stats!D$9="Unavená",-15,IF(Stats!D$9="Silně unavená",-30,IF(Stats!D$9="Vyčerpaná",-MAX(40,(C49+H49+E49)/2),"-----")))))+Combat!AF$13+Combat!AG$14)</f>
        <v/>
      </c>
      <c r="J49" s="373" t="str">
        <f>IF(C49="","",(C49+H49+IF(Character!C$4="Člověk",1.5*E49,E49)+I49)/IF(B49="Akrobacie",CHOOSE(MAX(Combat!AF$1:AF$5)+1,1,1,1,2,4,8),1)/IF(TYPE(MATCH("Nenávist bohů",Character!D$11:D$15,0))&lt;&gt;16,2,1)&amp;"%")</f>
        <v/>
      </c>
      <c r="K49" s="365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</row>
    <row r="50" spans="2:312">
      <c r="B50" s="9"/>
      <c r="C50" s="197" t="str">
        <f>IF(B50&lt;&gt;"",VLOOKUP(B50,'Perks &amp; Skills'!B$69:D$170,2),"")</f>
        <v/>
      </c>
      <c r="D50" s="197" t="str">
        <f>IF(B50&lt;&gt;"",VLOOKUP(B50,'Perks &amp; Skills'!B$69:D$170,3),"")</f>
        <v/>
      </c>
      <c r="E50" s="296"/>
      <c r="F50" s="450" t="str">
        <f>IF(C50="","",IF(AND(IF(AND(OR(MOD(C50,2)&lt;&gt;0,AND(Character!$C$4="Člověk", MOD(E50,2)&lt;&gt;0)),IF(Character!$C$4="Člověk",INT(E50*1.5),E50)=C50),0.5,MAX(INT((C50+IF(Character!$C$4="Člověk",E50*1.5,E50))/C50)-1,0.5))&gt;1,TYPE(MATCH("Učenlivý",Character!D$11:D$15,0))&lt;&gt;16),-1,0)+IF(AND(OR(MOD(C50,2)&lt;&gt;0,AND(Character!$C$4="Člověk", MOD(E50,2)&lt;&gt;0)),IF(Character!$C$4="Člověk",INT(E50*1.5),E50)=C50),0.5,MAX(INT((C50+IF(Character!$C$4="Člověk",E50*1.5,E50))/C50)-1,0.5)))</f>
        <v/>
      </c>
      <c r="G50" s="449"/>
      <c r="H50" s="197" t="str">
        <f>IF(B50="","",IF(AND(Character!C$4="Barbar",B50="Utužování"),10,IF(AND(Character!C$4="Lesní elf",B50="Cvičení zvířat"),10,IF(AND(Character!C$4="Temný elf",B50="Plížení"),10,IF(AND(Character!C$4="Trpaslík",OR(B50="Utužování",B50="Potlačení bolesti")),20,IF(Character!C$4="Gnóm",IF(B50="Stopování",50,IF(OR(B50="Znalost zbraní",B50="Odhad ceny"),75,0)),IF(AND(Character!C$4="Hobit",OR(B50="Akrobacie",B50="Plížení",B50="Otevírání zámků",B50="Odstranění pasti")),10,IF(AND(Character!C$4="Kobold",B50="Stopování"),10,0)))))))+IF(AND(B50="Zpěv",TYPE(MATCH("Pěvec",Character!D$11:D$15,0))&lt;&gt;16),20,0)+IF(AND(OR(B50="Utužování",B50="Potlačení bolesti"),TYPE(MATCH("Tvrdá nátura",Character!D$11:D$15,0))&lt;&gt;16),20,0)+IF(AND(B50="Svádění",TYPE(MATCH("Svůdce",Character!D$11:D$15,0))&lt;&gt;16),20,0)+IF(AND(B50="Vnímavost",TYPE(MATCH("Akční hoch",Character!D$11:D$15,0))&lt;&gt;16),20,0)+IF(AND(B50="Vnímavost",TYPE(MATCH("Bystrozraký",Character!D$11:D$15,0))&lt;&gt;16),20,0)+IF(AND(B50="Plížení",TYPE(MATCH("Tichošlápek",Character!D$11:D$15,0))&lt;&gt;16),20,0)+IF(AND(OR(B50="Kradení",B50="Fixlování",B50="Kovářství",B50="Odstranění pasti",B50="Otevírání zámků",B50="Padělání",B50="Šití",B50="Tesařství a truhlářství"),TYPE(MATCH("Šikula",Character!D$11:D$15,0))&lt;&gt;16),10,0)+IF(AND(OR(B50="Zastraš nemrtvé",B50="Zastraš démony"),TYPE(MATCH("Exorcista",Character!D$11:D$15,0))&lt;&gt;16),20,0)+IF(AND(B50="Navigace",TYPE(MATCH("Světaznalý",Character!D$11:D$15,0))&lt;&gt;16),20,0)+IF(AND(OR(B50="Fixlování",B50="Kradení",B50="Převleky"),TYPE(MATCH("Herec",Character!D$11:D$15,0))&lt;&gt;16),15,0)+IF(AND(OR(B50="Přesvědčování",B50="Zastraš draky",B50="Zastraš lykantropy"),TYPE(MATCH("Řečník",Character!D$11:D$15,0))&lt;&gt;16),15,0)+IF(AND(OR(B50="Hra na hudební nástroj - strunné",B50="Hra na hudební nástroj - dechové",B50="Hra na hudební nástroj - bicí"),TYPE(MATCH("Hudebník",Character!D$11:D$15,0))&lt;&gt;16),20,0)+IF(AND(B50="Znalost rostlin",TYPE(MATCH("Botanik",Character!D$11:D$15,0))&lt;&gt;16),20,0)+IF(AND(B50="Detekce magie",TYPE(MATCH("Alergie na magii",Character!D$11:D$15,0))&lt;&gt;16),50,0)+IF(AND(OR(B50="Převleky",B50="Fixlování"),TYPE(MATCH("Podvodník",Character!D$11:D$15,0))&lt;&gt;16),30,0))</f>
        <v/>
      </c>
      <c r="I50" s="344" t="str">
        <f>IF(C50="","",IF(Stats!D$9="OK",0,IF(Stats!D$9="Mírně unavená",-5,IF(Stats!D$9="Unavená",-15,IF(Stats!D$9="Silně unavená",-30,IF(Stats!D$9="Vyčerpaná",-MAX(40,(C50+H50+E50)/2),"-----")))))+Combat!AF$13+Combat!AG$14)</f>
        <v/>
      </c>
      <c r="J50" s="373" t="str">
        <f>IF(C50="","",(C50+H50+IF(Character!C$4="Člověk",1.5*E50,E50)+I50)/IF(B50="Akrobacie",CHOOSE(MAX(Combat!AF$1:AF$5)+1,1,1,1,2,4,8),1)/IF(TYPE(MATCH("Nenávist bohů",Character!D$11:D$15,0))&lt;&gt;16,2,1)&amp;"%")</f>
        <v/>
      </c>
      <c r="K50" s="365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</row>
    <row r="51" spans="2:312">
      <c r="B51" s="10"/>
      <c r="C51" s="206" t="str">
        <f>IF(B51&lt;&gt;"",VLOOKUP(B51,'Perks &amp; Skills'!B$69:D$170,2),"")</f>
        <v/>
      </c>
      <c r="D51" s="206" t="str">
        <f>IF(B51&lt;&gt;"",VLOOKUP(B51,'Perks &amp; Skills'!B$69:D$170,3),"")</f>
        <v/>
      </c>
      <c r="E51" s="460"/>
      <c r="F51" s="447" t="str">
        <f>IF(C51="","",IF(AND(IF(AND(OR(MOD(C51,2)&lt;&gt;0,AND(Character!$C$4="Člověk", MOD(E51,2)&lt;&gt;0)),IF(Character!$C$4="Člověk",INT(E51*1.5),E51)=C51),0.5,MAX(INT((C51+IF(Character!$C$4="Člověk",E51*1.5,E51))/C51)-1,0.5))&gt;1,TYPE(MATCH("Učenlivý",Character!D$11:D$15,0))&lt;&gt;16),-1,0)+IF(AND(OR(MOD(C51,2)&lt;&gt;0,AND(Character!$C$4="Člověk", MOD(E51,2)&lt;&gt;0)),IF(Character!$C$4="Člověk",INT(E51*1.5),E51)=C51),0.5,MAX(INT((C51+IF(Character!$C$4="Člověk",E51*1.5,E51))/C51)-1,0.5)))</f>
        <v/>
      </c>
      <c r="G51" s="453"/>
      <c r="H51" s="206" t="str">
        <f>IF(B51="","",IF(AND(Character!C$4="Barbar",B51="Utužování"),10,IF(AND(Character!C$4="Lesní elf",B51="Cvičení zvířat"),10,IF(AND(Character!C$4="Temný elf",B51="Plížení"),10,IF(AND(Character!C$4="Trpaslík",OR(B51="Utužování",B51="Potlačení bolesti")),20,IF(Character!C$4="Gnóm",IF(B51="Stopování",50,IF(OR(B51="Znalost zbraní",B51="Odhad ceny"),75,0)),IF(AND(Character!C$4="Hobit",OR(B51="Akrobacie",B51="Plížení",B51="Otevírání zámků",B51="Odstranění pasti")),10,IF(AND(Character!C$4="Kobold",B51="Stopování"),10,0)))))))+IF(AND(B51="Zpěv",TYPE(MATCH("Pěvec",Character!D$11:D$15,0))&lt;&gt;16),20,0)+IF(AND(OR(B51="Utužování",B51="Potlačení bolesti"),TYPE(MATCH("Tvrdá nátura",Character!D$11:D$15,0))&lt;&gt;16),20,0)+IF(AND(B51="Svádění",TYPE(MATCH("Svůdce",Character!D$11:D$15,0))&lt;&gt;16),20,0)+IF(AND(B51="Vnímavost",TYPE(MATCH("Akční hoch",Character!D$11:D$15,0))&lt;&gt;16),20,0)+IF(AND(B51="Vnímavost",TYPE(MATCH("Bystrozraký",Character!D$11:D$15,0))&lt;&gt;16),20,0)+IF(AND(B51="Plížení",TYPE(MATCH("Tichošlápek",Character!D$11:D$15,0))&lt;&gt;16),20,0)+IF(AND(OR(B51="Kradení",B51="Fixlování",B51="Kovářství",B51="Odstranění pasti",B51="Otevírání zámků",B51="Padělání",B51="Šití",B51="Tesařství a truhlářství"),TYPE(MATCH("Šikula",Character!D$11:D$15,0))&lt;&gt;16),10,0)+IF(AND(OR(B51="Zastraš nemrtvé",B51="Zastraš démony"),TYPE(MATCH("Exorcista",Character!D$11:D$15,0))&lt;&gt;16),20,0)+IF(AND(B51="Navigace",TYPE(MATCH("Světaznalý",Character!D$11:D$15,0))&lt;&gt;16),20,0)+IF(AND(OR(B51="Fixlování",B51="Kradení",B51="Převleky"),TYPE(MATCH("Herec",Character!D$11:D$15,0))&lt;&gt;16),15,0)+IF(AND(OR(B51="Přesvědčování",B51="Zastraš draky",B51="Zastraš lykantropy"),TYPE(MATCH("Řečník",Character!D$11:D$15,0))&lt;&gt;16),15,0)+IF(AND(OR(B51="Hra na hudební nástroj - strunné",B51="Hra na hudební nástroj - dechové",B51="Hra na hudební nástroj - bicí"),TYPE(MATCH("Hudebník",Character!D$11:D$15,0))&lt;&gt;16),20,0)+IF(AND(B51="Znalost rostlin",TYPE(MATCH("Botanik",Character!D$11:D$15,0))&lt;&gt;16),20,0)+IF(AND(B51="Detekce magie",TYPE(MATCH("Alergie na magii",Character!D$11:D$15,0))&lt;&gt;16),50,0)+IF(AND(OR(B51="Převleky",B51="Fixlování"),TYPE(MATCH("Podvodník",Character!D$11:D$15,0))&lt;&gt;16),30,0))</f>
        <v/>
      </c>
      <c r="I51" s="345" t="str">
        <f>IF(C51="","",IF(Stats!D$9="OK",0,IF(Stats!D$9="Mírně unavená",-5,IF(Stats!D$9="Unavená",-15,IF(Stats!D$9="Silně unavená",-30,IF(Stats!D$9="Vyčerpaná",-MAX(40,(C51+H51+E51)/2),"-----")))))+Combat!AF$13+Combat!AG$14)</f>
        <v/>
      </c>
      <c r="J51" s="374" t="str">
        <f>IF(C51="","",(C51+H51+IF(Character!C$4="Člověk",1.5*E51,E51)+I51)/IF(B51="Akrobacie",CHOOSE(MAX(Combat!AF$1:AF$5)+1,1,1,1,2,4,8),1)/IF(TYPE(MATCH("Nenávist bohů",Character!D$11:D$15,0))&lt;&gt;16,2,1)&amp;"%")</f>
        <v/>
      </c>
      <c r="K51" s="365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</row>
    <row r="52" spans="2:312"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2:312"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2:312"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2:312"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2:312"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2:312"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2:312"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2:312"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2:312"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2:312"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2:312"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2:312"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2:312"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27:73"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27:73"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27:73"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27:73"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27:73"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27:73"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27:73"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27:73"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27:73"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27:73"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27:73"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27:73"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27:73"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27:73"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27:73"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27:73"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27:73"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27:73"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27:73"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27:73"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27:73"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27:73"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27:73"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27:73"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27:73"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27:73"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27:73"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27:73"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27:73"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27:73"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27:73"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27:73"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27:73"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27:73"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27:73"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27:73"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27:73"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27:73"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27:73"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27:73"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27:73"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27:73"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27:73"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27:73"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27:73"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27:73"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27:73"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27:73"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27:73"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27:73"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27:73"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27:73"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27:73"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27:73"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27:73"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27:73"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27:73"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27:73"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27:73"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27:73"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27:73"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27:73"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27:73"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27:73"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27:73"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27:73"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27:73"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27:73"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27:73"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27:73"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27:73"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27:73"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27:73"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27:73"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27:73"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27:73"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27:73"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27:73"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27:73"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27:73"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27:73"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27:73"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27:73"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27:73"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27:73"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27:73"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27:73"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27:73"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27:73"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27:73"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27:73"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27:73"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27:73"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27:73"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27:73"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27:73"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27:73"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27:73"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27:73"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27:73"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27:73"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27:73"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27:73"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27:73"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27:73"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27:73"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27:73"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27:73"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27:73"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27:73"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27:73"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27:73"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27:73"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27:73"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27:73"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27:73"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27:73"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27:73"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27:73"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27:73"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27:73"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27:73"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27:73"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27:73"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27:73"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27:73"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27:73"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27:73"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2:73"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2:73"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2:73"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2:73"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2:73"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2:73"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2:73"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2:73"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2:73">
      <c r="L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2:73">
      <c r="L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2:73">
      <c r="L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2:73">
      <c r="L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2:73">
      <c r="L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2:73">
      <c r="L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2:73">
      <c r="L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2:73">
      <c r="L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2:73">
      <c r="L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2:73">
      <c r="L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2:73">
      <c r="L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2:73">
      <c r="L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2:73">
      <c r="L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2:73">
      <c r="L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2:73">
      <c r="L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2:73">
      <c r="L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2:73">
      <c r="L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2:73">
      <c r="L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2:73">
      <c r="L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2:73">
      <c r="L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2:73">
      <c r="L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2:73">
      <c r="L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2:73">
      <c r="L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2:73">
      <c r="L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2:73">
      <c r="L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2:73">
      <c r="L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2:73">
      <c r="L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2:73">
      <c r="L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2:73">
      <c r="L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2:73">
      <c r="L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2:73">
      <c r="L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2:73">
      <c r="L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2:73">
      <c r="L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2:73">
      <c r="L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2:73">
      <c r="L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2:73">
      <c r="L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2:73">
      <c r="L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2:73">
      <c r="L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2:73">
      <c r="L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2:73">
      <c r="L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2:73">
      <c r="L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2:73">
      <c r="L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2:73">
      <c r="L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2:73">
      <c r="L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2:73">
      <c r="L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2:73">
      <c r="L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2:73">
      <c r="L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2:73">
      <c r="L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2:73">
      <c r="L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2:73">
      <c r="L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2:73">
      <c r="L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2:73">
      <c r="L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2:73">
      <c r="L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2:73">
      <c r="L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2:73">
      <c r="L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2:73">
      <c r="L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2:73">
      <c r="L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2:73">
      <c r="L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2:73">
      <c r="L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2:73">
      <c r="L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2:73">
      <c r="L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2:73">
      <c r="L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2:73">
      <c r="L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2:73">
      <c r="L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2:73">
      <c r="L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2:73">
      <c r="L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2:73">
      <c r="L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2:73">
      <c r="L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2:73">
      <c r="L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2:73">
      <c r="L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2:73">
      <c r="L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2:73">
      <c r="L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2:73">
      <c r="L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2:73">
      <c r="L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2:73">
      <c r="L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2:73">
      <c r="L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2:73">
      <c r="L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2:73">
      <c r="L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2:73">
      <c r="L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2:73">
      <c r="L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2:73">
      <c r="L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2:73">
      <c r="L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2:73">
      <c r="L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2:73">
      <c r="L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2:73">
      <c r="L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2:73">
      <c r="L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2:73">
      <c r="L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2:73">
      <c r="L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2:73">
      <c r="L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2:73">
      <c r="L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2:73">
      <c r="L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2:73">
      <c r="L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2:73">
      <c r="L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2:73">
      <c r="L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2:73">
      <c r="L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2:73">
      <c r="L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2:73">
      <c r="L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2:73">
      <c r="L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2:73">
      <c r="L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2:73">
      <c r="L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2:73">
      <c r="L301" s="4"/>
    </row>
    <row r="302" spans="12:73">
      <c r="L302" s="4"/>
    </row>
    <row r="303" spans="12:73">
      <c r="L303" s="4"/>
    </row>
    <row r="304" spans="12:73">
      <c r="L304" s="4"/>
    </row>
    <row r="305" spans="12:12">
      <c r="L305" s="4"/>
    </row>
    <row r="306" spans="12:12">
      <c r="L306" s="4"/>
    </row>
    <row r="307" spans="12:12">
      <c r="L307" s="4"/>
    </row>
    <row r="308" spans="12:12">
      <c r="L308" s="4"/>
    </row>
    <row r="309" spans="12:12">
      <c r="L309" s="4"/>
    </row>
    <row r="310" spans="12:12">
      <c r="L310" s="4"/>
    </row>
    <row r="311" spans="12:12">
      <c r="L311" s="4"/>
    </row>
    <row r="312" spans="12:12">
      <c r="L312" s="4"/>
    </row>
    <row r="313" spans="12:12">
      <c r="L313" s="4"/>
    </row>
    <row r="314" spans="12:12">
      <c r="L314" s="4"/>
    </row>
    <row r="315" spans="12:12">
      <c r="L315" s="4"/>
    </row>
    <row r="316" spans="12:12">
      <c r="L316" s="4"/>
    </row>
    <row r="317" spans="12:12">
      <c r="L317" s="4"/>
    </row>
    <row r="318" spans="12:12">
      <c r="L318" s="4"/>
    </row>
    <row r="319" spans="12:12">
      <c r="L319" s="4"/>
    </row>
    <row r="320" spans="12:12">
      <c r="L320" s="4"/>
    </row>
    <row r="321" spans="12:12">
      <c r="L321" s="4"/>
    </row>
    <row r="322" spans="12:12">
      <c r="L322" s="4"/>
    </row>
    <row r="323" spans="12:12">
      <c r="L323" s="4"/>
    </row>
    <row r="324" spans="12:12">
      <c r="L324" s="4"/>
    </row>
    <row r="325" spans="12:12">
      <c r="L325" s="4"/>
    </row>
    <row r="326" spans="12:12">
      <c r="L326" s="4"/>
    </row>
    <row r="327" spans="12:12">
      <c r="L327" s="4"/>
    </row>
    <row r="328" spans="12:12">
      <c r="L328" s="4"/>
    </row>
    <row r="329" spans="12:12">
      <c r="L329" s="4"/>
    </row>
    <row r="330" spans="12:12">
      <c r="L330" s="4"/>
    </row>
    <row r="331" spans="12:12">
      <c r="L331" s="4"/>
    </row>
    <row r="332" spans="12:12">
      <c r="L332" s="4"/>
    </row>
    <row r="333" spans="12:12">
      <c r="L333" s="4"/>
    </row>
    <row r="334" spans="12:12">
      <c r="L334" s="4"/>
    </row>
    <row r="335" spans="12:12">
      <c r="L335" s="4"/>
    </row>
    <row r="336" spans="12:12">
      <c r="L336" s="4"/>
    </row>
    <row r="337" spans="12:12">
      <c r="L337" s="4"/>
    </row>
    <row r="338" spans="12:12">
      <c r="L338" s="4"/>
    </row>
    <row r="339" spans="12:12">
      <c r="L339" s="4"/>
    </row>
    <row r="340" spans="12:12">
      <c r="L340" s="4"/>
    </row>
    <row r="341" spans="12:12">
      <c r="L341" s="4"/>
    </row>
    <row r="342" spans="12:12">
      <c r="L342" s="4"/>
    </row>
    <row r="343" spans="12:12">
      <c r="L343" s="4"/>
    </row>
    <row r="344" spans="12:12">
      <c r="L344" s="4"/>
    </row>
    <row r="345" spans="12:12">
      <c r="L345" s="4"/>
    </row>
    <row r="346" spans="12:12">
      <c r="L346" s="4"/>
    </row>
    <row r="347" spans="12:12">
      <c r="L347" s="4"/>
    </row>
    <row r="348" spans="12:12">
      <c r="L348" s="4"/>
    </row>
    <row r="349" spans="12:12">
      <c r="L349" s="4"/>
    </row>
    <row r="350" spans="12:12">
      <c r="L350" s="4"/>
    </row>
    <row r="351" spans="12:12">
      <c r="L351" s="4"/>
    </row>
    <row r="352" spans="12:12">
      <c r="L352" s="4"/>
    </row>
    <row r="353" spans="12:12">
      <c r="L353" s="4"/>
    </row>
    <row r="354" spans="12:12">
      <c r="L354" s="4"/>
    </row>
    <row r="355" spans="12:12">
      <c r="L355" s="4"/>
    </row>
    <row r="356" spans="12:12">
      <c r="L356" s="4"/>
    </row>
    <row r="357" spans="12:12">
      <c r="L357" s="4"/>
    </row>
    <row r="358" spans="12:12">
      <c r="L358" s="4"/>
    </row>
    <row r="359" spans="12:12">
      <c r="L359" s="4"/>
    </row>
    <row r="360" spans="12:12">
      <c r="L360" s="4"/>
    </row>
    <row r="361" spans="12:12">
      <c r="L361" s="4"/>
    </row>
    <row r="362" spans="12:12">
      <c r="L362" s="4"/>
    </row>
    <row r="363" spans="12:12">
      <c r="L363" s="4"/>
    </row>
    <row r="364" spans="12:12">
      <c r="L364" s="4"/>
    </row>
    <row r="365" spans="12:12">
      <c r="L365" s="4"/>
    </row>
    <row r="366" spans="12:12">
      <c r="L366" s="4"/>
    </row>
    <row r="367" spans="12:12">
      <c r="L367" s="4"/>
    </row>
    <row r="368" spans="12:12">
      <c r="L368" s="4"/>
    </row>
    <row r="369" spans="12:12">
      <c r="L369" s="4"/>
    </row>
    <row r="370" spans="12:12">
      <c r="L370" s="4"/>
    </row>
    <row r="371" spans="12:12">
      <c r="L371" s="4"/>
    </row>
    <row r="372" spans="12:12">
      <c r="L372" s="4"/>
    </row>
    <row r="373" spans="12:12">
      <c r="L373" s="4"/>
    </row>
    <row r="374" spans="12:12">
      <c r="L374" s="4"/>
    </row>
    <row r="375" spans="12:12">
      <c r="L375" s="4"/>
    </row>
    <row r="376" spans="12:12">
      <c r="L376" s="4"/>
    </row>
    <row r="377" spans="12:12">
      <c r="L377" s="4"/>
    </row>
    <row r="378" spans="12:12">
      <c r="L378" s="4"/>
    </row>
    <row r="379" spans="12:12">
      <c r="L379" s="4"/>
    </row>
    <row r="380" spans="12:12">
      <c r="L380" s="4"/>
    </row>
    <row r="381" spans="12:12">
      <c r="L381" s="4"/>
    </row>
    <row r="382" spans="12:12">
      <c r="L382" s="4"/>
    </row>
    <row r="383" spans="12:12">
      <c r="L383" s="4"/>
    </row>
    <row r="384" spans="12:12">
      <c r="L384" s="4"/>
    </row>
    <row r="385" spans="12:12">
      <c r="L385" s="4"/>
    </row>
    <row r="386" spans="12:12">
      <c r="L386" s="4"/>
    </row>
    <row r="387" spans="12:12">
      <c r="L387" s="4"/>
    </row>
    <row r="388" spans="12:12">
      <c r="L388" s="4"/>
    </row>
    <row r="389" spans="12:12">
      <c r="L389" s="4"/>
    </row>
    <row r="390" spans="12:12">
      <c r="L390" s="4"/>
    </row>
    <row r="391" spans="12:12">
      <c r="L391" s="4"/>
    </row>
    <row r="392" spans="12:12">
      <c r="L392" s="4"/>
    </row>
    <row r="393" spans="12:12">
      <c r="L393" s="4"/>
    </row>
    <row r="394" spans="12:12">
      <c r="L394" s="4"/>
    </row>
    <row r="395" spans="12:12">
      <c r="L395" s="4"/>
    </row>
    <row r="396" spans="12:12">
      <c r="L396" s="4"/>
    </row>
    <row r="397" spans="12:12">
      <c r="L397" s="4"/>
    </row>
    <row r="398" spans="12:12">
      <c r="L398" s="4"/>
    </row>
    <row r="399" spans="12:12">
      <c r="L399" s="4"/>
    </row>
    <row r="400" spans="12:12">
      <c r="L400" s="4"/>
    </row>
    <row r="401" spans="12:12">
      <c r="L401" s="4"/>
    </row>
    <row r="402" spans="12:12">
      <c r="L402" s="4"/>
    </row>
    <row r="403" spans="12:12">
      <c r="L403" s="4"/>
    </row>
    <row r="404" spans="12:12">
      <c r="L404" s="4"/>
    </row>
    <row r="405" spans="12:12">
      <c r="L405" s="4"/>
    </row>
    <row r="406" spans="12:12">
      <c r="L406" s="4"/>
    </row>
    <row r="407" spans="12:12">
      <c r="L407" s="4"/>
    </row>
    <row r="408" spans="12:12">
      <c r="L408" s="4"/>
    </row>
    <row r="409" spans="12:12">
      <c r="L409" s="4"/>
    </row>
    <row r="410" spans="12:12">
      <c r="L410" s="4"/>
    </row>
    <row r="411" spans="12:12">
      <c r="L411" s="4"/>
    </row>
    <row r="412" spans="12:12">
      <c r="L412" s="4"/>
    </row>
    <row r="413" spans="12:12">
      <c r="L413" s="4"/>
    </row>
    <row r="414" spans="12:12">
      <c r="L414" s="4"/>
    </row>
    <row r="415" spans="12:12">
      <c r="L415" s="4"/>
    </row>
    <row r="416" spans="12:12">
      <c r="L416" s="4"/>
    </row>
    <row r="417" spans="12:12">
      <c r="L417" s="4"/>
    </row>
    <row r="418" spans="12:12">
      <c r="L418" s="4"/>
    </row>
    <row r="419" spans="12:12">
      <c r="L419" s="4"/>
    </row>
    <row r="420" spans="12:12">
      <c r="L420" s="4"/>
    </row>
    <row r="421" spans="12:12">
      <c r="L421" s="4"/>
    </row>
    <row r="422" spans="12:12">
      <c r="L422" s="4"/>
    </row>
    <row r="423" spans="12:12">
      <c r="L423" s="4"/>
    </row>
    <row r="424" spans="12:12">
      <c r="L424" s="4"/>
    </row>
    <row r="425" spans="12:12">
      <c r="L425" s="4"/>
    </row>
    <row r="426" spans="12:12">
      <c r="L426" s="4"/>
    </row>
    <row r="427" spans="12:12">
      <c r="L427" s="4"/>
    </row>
    <row r="428" spans="12:12">
      <c r="L428" s="4"/>
    </row>
    <row r="429" spans="12:12">
      <c r="L429" s="4"/>
    </row>
    <row r="430" spans="12:12">
      <c r="L430" s="4"/>
    </row>
    <row r="431" spans="12:12">
      <c r="L431" s="4"/>
    </row>
    <row r="432" spans="12:12">
      <c r="L432" s="4"/>
    </row>
    <row r="433" spans="12:12">
      <c r="L433" s="4"/>
    </row>
    <row r="434" spans="12:12">
      <c r="L434" s="4"/>
    </row>
    <row r="435" spans="12:12">
      <c r="L435" s="4"/>
    </row>
    <row r="436" spans="12:12">
      <c r="L436" s="4"/>
    </row>
    <row r="437" spans="12:12">
      <c r="L437" s="4"/>
    </row>
    <row r="438" spans="12:12">
      <c r="L438" s="4"/>
    </row>
    <row r="439" spans="12:12">
      <c r="L439" s="4"/>
    </row>
    <row r="440" spans="12:12">
      <c r="L440" s="4"/>
    </row>
    <row r="441" spans="12:12">
      <c r="L441" s="4"/>
    </row>
    <row r="442" spans="12:12">
      <c r="L442" s="4"/>
    </row>
    <row r="443" spans="12:12">
      <c r="L443" s="4"/>
    </row>
    <row r="444" spans="12:12">
      <c r="L444" s="4"/>
    </row>
    <row r="445" spans="12:12">
      <c r="L445" s="4"/>
    </row>
    <row r="446" spans="12:12">
      <c r="L446" s="4"/>
    </row>
    <row r="447" spans="12:12">
      <c r="L447" s="4"/>
    </row>
    <row r="448" spans="12:12">
      <c r="L448" s="4"/>
    </row>
    <row r="449" spans="12:12">
      <c r="L449" s="4"/>
    </row>
    <row r="450" spans="12:12">
      <c r="L450" s="4"/>
    </row>
    <row r="451" spans="12:12">
      <c r="L451" s="4"/>
    </row>
    <row r="452" spans="12:12">
      <c r="L452" s="4"/>
    </row>
    <row r="453" spans="12:12">
      <c r="L453" s="4"/>
    </row>
    <row r="454" spans="12:12">
      <c r="L454" s="4"/>
    </row>
    <row r="455" spans="12:12">
      <c r="L455" s="4"/>
    </row>
    <row r="456" spans="12:12">
      <c r="L456" s="4"/>
    </row>
    <row r="457" spans="12:12">
      <c r="L457" s="4"/>
    </row>
    <row r="458" spans="12:12">
      <c r="L458" s="4"/>
    </row>
    <row r="459" spans="12:12">
      <c r="L459" s="4"/>
    </row>
    <row r="460" spans="12:12">
      <c r="L460" s="4"/>
    </row>
    <row r="461" spans="12:12">
      <c r="L461" s="4"/>
    </row>
    <row r="462" spans="12:12">
      <c r="L462" s="4"/>
    </row>
    <row r="463" spans="12:12">
      <c r="L463" s="4"/>
    </row>
    <row r="464" spans="12:12">
      <c r="L464" s="4"/>
    </row>
    <row r="465" spans="12:12">
      <c r="L465" s="4"/>
    </row>
    <row r="466" spans="12:12">
      <c r="L466" s="4"/>
    </row>
    <row r="467" spans="12:12">
      <c r="L467" s="4"/>
    </row>
    <row r="468" spans="12:12">
      <c r="L468" s="4"/>
    </row>
    <row r="469" spans="12:12">
      <c r="L469" s="4"/>
    </row>
    <row r="470" spans="12:12">
      <c r="L470" s="4"/>
    </row>
    <row r="471" spans="12:12">
      <c r="L471" s="4"/>
    </row>
    <row r="472" spans="12:12">
      <c r="L472" s="4"/>
    </row>
    <row r="473" spans="12:12">
      <c r="L473" s="4"/>
    </row>
    <row r="474" spans="12:12">
      <c r="L474" s="4"/>
    </row>
    <row r="475" spans="12:12">
      <c r="L475" s="4"/>
    </row>
    <row r="476" spans="12:12">
      <c r="L476" s="4"/>
    </row>
    <row r="477" spans="12:12">
      <c r="L477" s="4"/>
    </row>
    <row r="478" spans="12:12">
      <c r="L478" s="4"/>
    </row>
    <row r="479" spans="12:12">
      <c r="L479" s="4"/>
    </row>
    <row r="480" spans="12:12">
      <c r="L480" s="4"/>
    </row>
    <row r="481" spans="12:12">
      <c r="L481" s="4"/>
    </row>
    <row r="482" spans="12:12">
      <c r="L482" s="4"/>
    </row>
    <row r="483" spans="12:12">
      <c r="L483" s="4"/>
    </row>
    <row r="484" spans="12:12">
      <c r="L484" s="4"/>
    </row>
    <row r="485" spans="12:12">
      <c r="L485" s="4"/>
    </row>
    <row r="486" spans="12:12">
      <c r="L486" s="4"/>
    </row>
    <row r="487" spans="12:12">
      <c r="L487" s="4"/>
    </row>
    <row r="488" spans="12:12">
      <c r="L488" s="4"/>
    </row>
    <row r="489" spans="12:12">
      <c r="L489" s="4"/>
    </row>
    <row r="490" spans="12:12">
      <c r="L490" s="4"/>
    </row>
    <row r="491" spans="12:12">
      <c r="L491" s="4"/>
    </row>
    <row r="492" spans="12:12">
      <c r="L492" s="4"/>
    </row>
    <row r="493" spans="12:12">
      <c r="L493" s="4"/>
    </row>
    <row r="494" spans="12:12">
      <c r="L494" s="4"/>
    </row>
    <row r="495" spans="12:12">
      <c r="L495" s="4"/>
    </row>
    <row r="496" spans="12:12">
      <c r="L496" s="4"/>
    </row>
    <row r="497" spans="12:12">
      <c r="L497" s="4"/>
    </row>
    <row r="498" spans="12:12">
      <c r="L498" s="4"/>
    </row>
    <row r="499" spans="12:12">
      <c r="L499" s="4"/>
    </row>
    <row r="500" spans="12:12">
      <c r="L500" s="4"/>
    </row>
  </sheetData>
  <mergeCells count="10">
    <mergeCell ref="B2:J2"/>
    <mergeCell ref="I3:I4"/>
    <mergeCell ref="J3:J4"/>
    <mergeCell ref="B3:B4"/>
    <mergeCell ref="C3:C4"/>
    <mergeCell ref="E3:E4"/>
    <mergeCell ref="H3:H4"/>
    <mergeCell ref="F3:F4"/>
    <mergeCell ref="G3:G4"/>
    <mergeCell ref="D3:D4"/>
  </mergeCells>
  <dataValidations count="1">
    <dataValidation type="list" allowBlank="1" showInputMessage="1" showErrorMessage="1" sqref="B5:B51">
      <formula1>'Perks &amp; Skills'!$B$69:$B$170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B1:AE1048576"/>
  <sheetViews>
    <sheetView workbookViewId="0"/>
  </sheetViews>
  <sheetFormatPr defaultRowHeight="15"/>
  <cols>
    <col min="2" max="7" width="13.7109375" style="16" customWidth="1"/>
    <col min="8" max="11" width="13.7109375" customWidth="1"/>
    <col min="27" max="30" width="9.140625" hidden="1" customWidth="1"/>
    <col min="31" max="31" width="0" hidden="1" customWidth="1"/>
  </cols>
  <sheetData>
    <row r="1" spans="2:31">
      <c r="AA1">
        <v>8</v>
      </c>
      <c r="AB1">
        <v>45</v>
      </c>
      <c r="AC1" s="4" t="e">
        <f>"méně než "&amp;5+MAX(Character!I$23,0)</f>
        <v>#VALUE!</v>
      </c>
      <c r="AD1">
        <v>0</v>
      </c>
      <c r="AE1" s="4">
        <v>1</v>
      </c>
    </row>
    <row r="2" spans="2:31">
      <c r="B2" s="627" t="s">
        <v>507</v>
      </c>
      <c r="C2" s="628"/>
      <c r="D2" s="629"/>
      <c r="F2" s="627" t="s">
        <v>508</v>
      </c>
      <c r="G2" s="629"/>
      <c r="I2" s="630" t="s">
        <v>513</v>
      </c>
      <c r="J2" s="630"/>
      <c r="K2" s="630"/>
      <c r="AA2">
        <v>9</v>
      </c>
      <c r="AB2">
        <v>32</v>
      </c>
      <c r="AC2" s="4" t="e">
        <f>5+MAX(Character!I$23,0)</f>
        <v>#VALUE!</v>
      </c>
      <c r="AD2">
        <v>1</v>
      </c>
      <c r="AE2" s="4">
        <v>2</v>
      </c>
    </row>
    <row r="3" spans="2:31">
      <c r="B3" s="309" t="s">
        <v>424</v>
      </c>
      <c r="C3" s="309" t="s">
        <v>372</v>
      </c>
      <c r="D3" s="309" t="s">
        <v>373</v>
      </c>
      <c r="F3" s="309" t="s">
        <v>510</v>
      </c>
      <c r="G3" s="309" t="s">
        <v>511</v>
      </c>
      <c r="I3" s="146" t="s">
        <v>33</v>
      </c>
      <c r="J3" s="544" t="s">
        <v>514</v>
      </c>
      <c r="K3" s="544"/>
      <c r="AA3">
        <v>10</v>
      </c>
      <c r="AB3">
        <v>21</v>
      </c>
      <c r="AC3" s="4" t="e">
        <f>6+MAX(Character!I$23,0)</f>
        <v>#VALUE!</v>
      </c>
      <c r="AD3">
        <v>2</v>
      </c>
      <c r="AE3" s="4">
        <v>3</v>
      </c>
    </row>
    <row r="4" spans="2:31">
      <c r="B4" s="308">
        <v>0</v>
      </c>
      <c r="C4" s="308" t="e">
        <f>IF(B4=0,5,1)*IF(MOD(B4,2)=0,ROUNDDOWN(VLOOKUP(INT((Character!H22+Character!H23+Character!H24)/3),AA1:AB34,2),0),ROUNDUP(VLOOKUP(INT((Character!H22+Character!H23+Character!H24)/3),AA1:AB34,2),0))-IF(TYPE(MATCH("Magicky nadaný",Character!D11:D15,0))&lt;&gt;16,1,0)+IF(TYPE(MATCH("Magický antitalent",Character!D11:D15,0))&lt;&gt;16,1,0)</f>
        <v>#VALUE!</v>
      </c>
      <c r="D4" s="308">
        <v>0</v>
      </c>
      <c r="F4" s="308">
        <f ca="1">INDIRECT("AD"&amp;B4+1)+IF(TYPE(MATCH("Manový magnet",Character!D11:D15,0))&lt;&gt;16,30,0)</f>
        <v>0</v>
      </c>
      <c r="G4" s="308">
        <v>0</v>
      </c>
      <c r="I4" s="308" t="e">
        <f>5+MAX(Character!I23,0)</f>
        <v>#VALUE!</v>
      </c>
      <c r="J4" s="598" t="e">
        <f>MAX(Character!I23,0)</f>
        <v>#VALUE!</v>
      </c>
      <c r="K4" s="598"/>
      <c r="AA4" s="4">
        <v>11</v>
      </c>
      <c r="AB4">
        <v>16</v>
      </c>
      <c r="AC4" s="4" t="e">
        <f>7+MAX(Character!I$23,0)</f>
        <v>#VALUE!</v>
      </c>
      <c r="AD4" s="4">
        <v>3</v>
      </c>
      <c r="AE4" s="4">
        <v>4</v>
      </c>
    </row>
    <row r="5" spans="2:31">
      <c r="E5" s="24" t="s">
        <v>45</v>
      </c>
      <c r="F5" s="479" t="e">
        <f ca="1">($F$4-$G$4)/($F$4/8)</f>
        <v>#DIV/0!</v>
      </c>
      <c r="G5" s="5" t="s">
        <v>879</v>
      </c>
      <c r="AA5" s="4">
        <v>12</v>
      </c>
      <c r="AB5">
        <v>13</v>
      </c>
      <c r="AC5" s="4" t="e">
        <f>8+MAX(Character!I$23,0)</f>
        <v>#VALUE!</v>
      </c>
      <c r="AD5" s="4">
        <v>4</v>
      </c>
      <c r="AE5" s="4">
        <v>5</v>
      </c>
    </row>
    <row r="6" spans="2:31">
      <c r="AA6" s="4">
        <v>13</v>
      </c>
      <c r="AB6">
        <v>11</v>
      </c>
      <c r="AC6" s="4" t="e">
        <f>9+MAX(Character!I$23,0)</f>
        <v>#VALUE!</v>
      </c>
      <c r="AD6" s="4">
        <v>5</v>
      </c>
      <c r="AE6" s="4">
        <v>6</v>
      </c>
    </row>
    <row r="7" spans="2:31">
      <c r="B7" s="627" t="s">
        <v>509</v>
      </c>
      <c r="C7" s="628"/>
      <c r="D7" s="628"/>
      <c r="E7" s="628"/>
      <c r="F7" s="628"/>
      <c r="G7" s="629"/>
      <c r="I7" s="630" t="s">
        <v>515</v>
      </c>
      <c r="J7" s="630"/>
      <c r="K7" s="630"/>
      <c r="AA7" s="4">
        <v>14</v>
      </c>
      <c r="AB7">
        <v>10</v>
      </c>
      <c r="AC7" s="4" t="e">
        <f>10+MAX(Character!I$23,0)</f>
        <v>#VALUE!</v>
      </c>
      <c r="AD7" s="4">
        <v>6</v>
      </c>
      <c r="AE7" s="4">
        <v>7</v>
      </c>
    </row>
    <row r="8" spans="2:31">
      <c r="B8" s="316" t="s">
        <v>28</v>
      </c>
      <c r="C8" s="316" t="s">
        <v>49</v>
      </c>
      <c r="D8" s="316" t="s">
        <v>372</v>
      </c>
      <c r="E8" s="316" t="s">
        <v>373</v>
      </c>
      <c r="F8" s="316" t="s">
        <v>489</v>
      </c>
      <c r="G8" s="316" t="s">
        <v>11</v>
      </c>
      <c r="H8" s="4"/>
      <c r="I8" s="523" t="s">
        <v>534</v>
      </c>
      <c r="J8" s="524"/>
      <c r="K8" s="465" t="s">
        <v>517</v>
      </c>
      <c r="AA8" s="4">
        <v>15</v>
      </c>
      <c r="AB8">
        <v>9</v>
      </c>
      <c r="AC8" s="4" t="e">
        <f>11+MAX(Character!I$23,0)</f>
        <v>#VALUE!</v>
      </c>
      <c r="AD8" s="4">
        <v>7</v>
      </c>
      <c r="AE8" s="4">
        <v>8</v>
      </c>
    </row>
    <row r="9" spans="2:31">
      <c r="B9" s="466" t="e">
        <f>4*Character!H22+B4</f>
        <v>#VALUE!</v>
      </c>
      <c r="C9" s="466">
        <v>0</v>
      </c>
      <c r="D9" s="466" t="e">
        <f>IF(AND(IF(AND(MOD(B9,2)&lt;&gt;0,C9=B9),0.5,MAX(INT((B9+C9)/B9)-1,0.5))&gt;1,TYPE(MATCH("Učenlivý",Character!D11:D15,0))&lt;&gt;16),-1,0)+IF(AND(MOD(B9,2)&lt;&gt;0,C9=B9),0.5,MAX(INT((B9+C9)/B9)-1,0.5))</f>
        <v>#VALUE!</v>
      </c>
      <c r="E9" s="466">
        <v>0</v>
      </c>
      <c r="F9" s="466" t="e">
        <f ca="1">Combat!AF13+Combat!AG14+IF(Stats!D9="OK",0,IF(Stats!D9="Mírně unavená",-5,IF(Stats!D9="Unavená",-15,IF(Stats!D9="Silně unavená",-30,IF(Stats!D9="Vyčerpaná",-MAX(40, (B9+C9)/2),"-----")))))+K9</f>
        <v>#VALUE!</v>
      </c>
      <c r="G9" s="466" t="e">
        <f ca="1">(B9+IF(Character!C4="Člověk",1.5*C9,C9)+F9)/IF(TYPE(MATCH("Nenávist bohů",Character!D11:D15,0))&lt;&gt;16,2,1)&amp;"%"</f>
        <v>#VALUE!</v>
      </c>
      <c r="H9" s="4"/>
      <c r="I9" s="321" t="e">
        <v>#VALUE!</v>
      </c>
      <c r="J9" s="77" t="s">
        <v>516</v>
      </c>
      <c r="K9" s="466" t="e">
        <f>-(MATCH(I9,AC1:AC11,0)-1)*10</f>
        <v>#VALUE!</v>
      </c>
      <c r="AA9" s="4">
        <v>16</v>
      </c>
      <c r="AB9">
        <v>8</v>
      </c>
      <c r="AC9" s="4" t="e">
        <f>12+MAX(Character!I$23,0)</f>
        <v>#VALUE!</v>
      </c>
      <c r="AD9" s="4">
        <v>8</v>
      </c>
      <c r="AE9" s="4">
        <v>9</v>
      </c>
    </row>
    <row r="10" spans="2:31">
      <c r="B10" s="313"/>
      <c r="C10" s="313"/>
      <c r="D10" s="313"/>
      <c r="E10" s="313"/>
      <c r="F10" s="313"/>
      <c r="G10" s="313"/>
      <c r="H10" s="4"/>
      <c r="I10" s="4" t="s">
        <v>773</v>
      </c>
      <c r="J10" s="4"/>
      <c r="K10" s="4"/>
      <c r="AA10" s="4">
        <v>17</v>
      </c>
      <c r="AB10">
        <v>7</v>
      </c>
      <c r="AC10" s="4" t="e">
        <f>13+MAX(Character!I$23,0)</f>
        <v>#VALUE!</v>
      </c>
      <c r="AD10" s="4">
        <v>9</v>
      </c>
      <c r="AE10" s="4">
        <v>10</v>
      </c>
    </row>
    <row r="11" spans="2:31">
      <c r="B11" s="627" t="s">
        <v>249</v>
      </c>
      <c r="C11" s="628"/>
      <c r="D11" s="628"/>
      <c r="E11" s="628"/>
      <c r="F11" s="629"/>
      <c r="G11" s="313"/>
      <c r="H11" s="4"/>
      <c r="I11" s="4" t="s">
        <v>871</v>
      </c>
      <c r="J11" s="4"/>
      <c r="K11" s="4"/>
      <c r="AA11" s="4">
        <v>18</v>
      </c>
      <c r="AB11">
        <v>6.5</v>
      </c>
      <c r="AC11" s="4" t="e">
        <f>14+MAX(Character!I$23,0)</f>
        <v>#VALUE!</v>
      </c>
      <c r="AD11" s="4">
        <v>10</v>
      </c>
      <c r="AE11" s="4">
        <v>11</v>
      </c>
    </row>
    <row r="12" spans="2:31">
      <c r="B12" s="469" t="s">
        <v>535</v>
      </c>
      <c r="C12" s="291" t="s">
        <v>15</v>
      </c>
      <c r="D12" s="316" t="s">
        <v>869</v>
      </c>
      <c r="E12" s="467" t="s">
        <v>870</v>
      </c>
      <c r="F12" s="459" t="s">
        <v>373</v>
      </c>
      <c r="G12" s="313"/>
      <c r="H12" s="627" t="s">
        <v>530</v>
      </c>
      <c r="I12" s="628"/>
      <c r="J12" s="628"/>
      <c r="K12" s="629"/>
      <c r="AA12" s="4">
        <v>19</v>
      </c>
      <c r="AB12">
        <v>6</v>
      </c>
      <c r="AD12">
        <v>12</v>
      </c>
      <c r="AE12" s="4"/>
    </row>
    <row r="13" spans="2:31">
      <c r="B13" s="471"/>
      <c r="C13" s="473" t="s">
        <v>527</v>
      </c>
      <c r="D13" s="468"/>
      <c r="E13" s="473" t="str">
        <f ca="1">IF(D13="", "", INDIRECT("AE"&amp;12+D13)-IF(OR(Character!$C$4="Vznešený elf",AND(Character!$C$4="Dryáda",B13="Země")),1,0))</f>
        <v/>
      </c>
      <c r="F13" s="428" t="str">
        <f ca="1">IF(D13&lt;&gt;"",SUM($AE$12:INDIRECT("$AE$"&amp;(11+D13)))-IF(OR(Character!$C$4="Vznešený elf",AND(Character!$C$4="Dryáda",B13="Země")),D13-1,0),"")</f>
        <v/>
      </c>
      <c r="G13" s="313"/>
      <c r="H13" s="316" t="s">
        <v>249</v>
      </c>
      <c r="I13" s="316" t="s">
        <v>424</v>
      </c>
      <c r="J13" s="465" t="s">
        <v>402</v>
      </c>
      <c r="K13" s="465" t="s">
        <v>373</v>
      </c>
      <c r="AA13" s="4">
        <v>20</v>
      </c>
      <c r="AB13">
        <v>5.5</v>
      </c>
      <c r="AC13" s="4" t="s">
        <v>521</v>
      </c>
      <c r="AD13">
        <v>14</v>
      </c>
      <c r="AE13" s="4">
        <v>20</v>
      </c>
    </row>
    <row r="14" spans="2:31">
      <c r="B14" s="471"/>
      <c r="C14" s="474" t="str">
        <f t="shared" ref="C14:C19" si="0">IF(B14&lt;&gt;"",IF(AND(B14="Oheň",TYPE(MATCH("Voda",$B$13:$B$19,0))&lt;&gt;16),25,IF(AND(B14="Voda",TYPE(MATCH("Oheň",$B$13:$B$19,0))&lt;&gt;16),25,IF(AND(B14="Země",TYPE(MATCH("Vzduch",$B$13:$B$19,0))&lt;&gt;16),25,IF(AND(B14="Vzduch",TYPE(MATCH("Země",$B$13:$B$19,0))&lt;&gt;16),25,IF(AND(B14="Nekromancie",TYPE(MATCH("Energie",$B$13:$B$19,0))&lt;&gt;16),25,IF(AND(B14="Energie",TYPE(MATCH("Nekromancie",$B$13:$B$19,0))&lt;&gt;16),25,10)))))),"")</f>
        <v/>
      </c>
      <c r="D14" s="471"/>
      <c r="E14" s="474" t="str">
        <f ca="1">IF(D14="", "", INDIRECT("AE"&amp;12+D14)-IF(OR(Character!$C$4="Vznešený elf",AND(Character!$C$4="Dryáda",B14="Země")),1,0))</f>
        <v/>
      </c>
      <c r="F14" s="429" t="str">
        <f ca="1">IF(D14&lt;&gt;"",SUM($AE$12:INDIRECT("$AE$"&amp;(11+D14)))-IF(OR(Character!$C$4="Vznešený elf",AND(Character!$C$4="Dryáda",B14="Země")),D14-1,0),"")</f>
        <v/>
      </c>
      <c r="G14" s="313"/>
      <c r="H14" s="466"/>
      <c r="I14" s="466">
        <v>0</v>
      </c>
      <c r="J14" s="466">
        <f>IF(OR(I14=3,AND(H14="Psychika", I14=1)),"-----",(I14+1)*10)</f>
        <v>10</v>
      </c>
      <c r="K14" s="466">
        <f>I14*(10+I14 * 10)/2</f>
        <v>0</v>
      </c>
      <c r="AA14" s="4">
        <v>21</v>
      </c>
      <c r="AB14">
        <v>5</v>
      </c>
      <c r="AC14" s="4" t="s">
        <v>522</v>
      </c>
      <c r="AD14" s="4">
        <v>16</v>
      </c>
      <c r="AE14" s="4">
        <v>25</v>
      </c>
    </row>
    <row r="15" spans="2:31">
      <c r="B15" s="471"/>
      <c r="C15" s="474" t="str">
        <f t="shared" si="0"/>
        <v/>
      </c>
      <c r="D15" s="471"/>
      <c r="E15" s="474" t="str">
        <f ca="1">IF(D15="", "", INDIRECT("AE"&amp;12+D15)-IF(OR(Character!$C$4="Vznešený elf",AND(Character!$C$4="Dryáda",B15="Země")),1,0))</f>
        <v/>
      </c>
      <c r="F15" s="429" t="str">
        <f ca="1">IF(D15&lt;&gt;"",SUM($AE$12:INDIRECT("$AE$"&amp;(11+D15)))-IF(OR(Character!$C$4="Vznešený elf",AND(Character!$C$4="Dryáda",B15="Země")),D15-1,0),"")</f>
        <v/>
      </c>
      <c r="G15" s="313"/>
      <c r="H15" s="313"/>
      <c r="I15" s="313"/>
      <c r="J15" s="4"/>
      <c r="K15" s="4"/>
      <c r="AA15" s="4">
        <v>22</v>
      </c>
      <c r="AB15">
        <v>5</v>
      </c>
      <c r="AC15" s="4" t="s">
        <v>523</v>
      </c>
      <c r="AD15" s="4">
        <v>18</v>
      </c>
      <c r="AE15" s="4">
        <v>30</v>
      </c>
    </row>
    <row r="16" spans="2:31">
      <c r="B16" s="471"/>
      <c r="C16" s="474" t="str">
        <f t="shared" si="0"/>
        <v/>
      </c>
      <c r="D16" s="471"/>
      <c r="E16" s="474" t="str">
        <f ca="1">IF(D16="", "", INDIRECT("AE"&amp;12+D16)-IF(OR(Character!$C$4="Vznešený elf",AND(Character!$C$4="Dryáda",B16="Země")),1,0))</f>
        <v/>
      </c>
      <c r="F16" s="429" t="str">
        <f ca="1">IF(D16&lt;&gt;"",SUM($AE$12:INDIRECT("$AE$"&amp;(11+D16)))-IF(OR(Character!$C$4="Vznešený elf",AND(Character!$C$4="Dryáda",B16="Země")),D16-1,0),"")</f>
        <v/>
      </c>
      <c r="G16" s="313"/>
      <c r="H16" s="627" t="s">
        <v>674</v>
      </c>
      <c r="I16" s="628"/>
      <c r="J16" s="628"/>
      <c r="K16" s="629"/>
      <c r="AA16" s="4">
        <v>23</v>
      </c>
      <c r="AB16">
        <v>4.5</v>
      </c>
      <c r="AC16" s="4" t="s">
        <v>524</v>
      </c>
      <c r="AD16" s="4">
        <v>20</v>
      </c>
      <c r="AE16" s="4">
        <v>40</v>
      </c>
    </row>
    <row r="17" spans="2:31">
      <c r="B17" s="471"/>
      <c r="C17" s="474" t="str">
        <f t="shared" si="0"/>
        <v/>
      </c>
      <c r="D17" s="471"/>
      <c r="E17" s="474" t="str">
        <f ca="1">IF(D17="", "", INDIRECT("AE"&amp;12+D17)-IF(OR(Character!$C$4="Vznešený elf",AND(Character!$C$4="Dryáda",B17="Země")),1,0))</f>
        <v/>
      </c>
      <c r="F17" s="429" t="str">
        <f ca="1">IF(D17&lt;&gt;"",SUM($AE$12:INDIRECT("$AE$"&amp;(11+D17)))-IF(OR(Character!$C$4="Vznešený elf",AND(Character!$C$4="Dryáda",B17="Země")),D17-1,0),"")</f>
        <v/>
      </c>
      <c r="G17" s="313"/>
      <c r="H17" s="363" t="s">
        <v>424</v>
      </c>
      <c r="I17" s="362" t="s">
        <v>336</v>
      </c>
      <c r="J17" s="362" t="s">
        <v>50</v>
      </c>
      <c r="K17" s="316" t="s">
        <v>25</v>
      </c>
      <c r="AA17" s="4">
        <v>24</v>
      </c>
      <c r="AB17">
        <v>4</v>
      </c>
      <c r="AC17" s="4" t="s">
        <v>525</v>
      </c>
      <c r="AD17" s="4">
        <v>22</v>
      </c>
      <c r="AE17" s="4">
        <v>45</v>
      </c>
    </row>
    <row r="18" spans="2:31">
      <c r="B18" s="471"/>
      <c r="C18" s="474" t="str">
        <f t="shared" si="0"/>
        <v/>
      </c>
      <c r="D18" s="471"/>
      <c r="E18" s="474" t="str">
        <f ca="1">IF(D18="", "", INDIRECT("AE"&amp;12+D18)-IF(OR(Character!$C$4="Vznešený elf",AND(Character!$C$4="Dryáda",B18="Země")),1,0))</f>
        <v/>
      </c>
      <c r="F18" s="429" t="str">
        <f ca="1">IF(D18&lt;&gt;"",SUM($AE$12:INDIRECT("$AE$"&amp;(11+D18)))-IF(OR(Character!$C$4="Vznešený elf",AND(Character!$C$4="Dryáda",B18="Země")),D18-1,0),"")</f>
        <v/>
      </c>
      <c r="G18" s="313"/>
      <c r="H18" s="240">
        <v>0</v>
      </c>
      <c r="I18" s="473">
        <f>IF(H18=0,IF(TYPE(MATCH("Učenlivý",Character!#REF!,0))&lt;&gt;16,20,25),IF(H18=10,"-----",IF(TYPE(MATCH("Učenlivý",Character!#REF!,0))&lt;&gt;16,19,20)))</f>
        <v>25</v>
      </c>
      <c r="J18" s="472">
        <f>H18*IF(TYPE(MATCH("Učenlivý",Character!#REF!,0))&lt;&gt;16,19,20)+IF(H18&lt;&gt;0,IF(TYPE(MATCH("Učenlivý",Character!#REF!,0))&lt;&gt;16,1,5),0)</f>
        <v>0</v>
      </c>
      <c r="K18" s="473" t="e">
        <f ca="1">MIN(-10,Combat!D20+Combat!H22+Combat!I20+Combat!J20-10+H18)</f>
        <v>#VALUE!</v>
      </c>
      <c r="AA18" s="4">
        <v>25</v>
      </c>
      <c r="AB18">
        <v>4</v>
      </c>
      <c r="AC18" s="4" t="s">
        <v>526</v>
      </c>
      <c r="AD18" s="4">
        <v>24</v>
      </c>
      <c r="AE18" s="4">
        <v>50</v>
      </c>
    </row>
    <row r="19" spans="2:31">
      <c r="B19" s="470"/>
      <c r="C19" s="475" t="str">
        <f t="shared" si="0"/>
        <v/>
      </c>
      <c r="D19" s="470"/>
      <c r="E19" s="475" t="str">
        <f ca="1">IF(D19="", "", INDIRECT("AE"&amp;12+D19)-IF(OR(Character!$C$4="Vznešený elf",AND(Character!$C$4="Dryáda",B19="Země")),1,0))</f>
        <v/>
      </c>
      <c r="F19" s="430" t="str">
        <f ca="1">IF(D19&lt;&gt;"",SUM($AE$12:INDIRECT("$AE$"&amp;(11+D19)))-IF(OR(Character!$C$4="Vznešený elf",AND(Character!$C$4="Dryáda",B19="Země")),D19-1,0),"")</f>
        <v/>
      </c>
      <c r="G19" s="313"/>
      <c r="H19" s="551" t="e">
        <f>"Maximálně "&amp;MAX(2+Character!I22,1)&amp;" akcí sesílání za kolo"</f>
        <v>#VALUE!</v>
      </c>
      <c r="I19" s="608"/>
      <c r="J19" s="608"/>
      <c r="K19" s="552"/>
      <c r="AA19" s="4">
        <v>26</v>
      </c>
      <c r="AB19">
        <v>4</v>
      </c>
      <c r="AC19" s="4" t="s">
        <v>531</v>
      </c>
      <c r="AD19" s="4">
        <v>26</v>
      </c>
      <c r="AE19" s="4">
        <v>60</v>
      </c>
    </row>
    <row r="20" spans="2:31">
      <c r="B20" s="313"/>
      <c r="C20" s="313"/>
      <c r="D20" s="313"/>
      <c r="E20" s="313"/>
      <c r="F20" s="313"/>
      <c r="G20" s="313"/>
      <c r="H20" s="4"/>
      <c r="I20" s="4"/>
      <c r="J20" s="4"/>
      <c r="K20" s="4"/>
      <c r="AA20" s="4">
        <v>27</v>
      </c>
      <c r="AB20">
        <v>3.5</v>
      </c>
      <c r="AD20" s="4">
        <v>28</v>
      </c>
      <c r="AE20" s="4">
        <v>65</v>
      </c>
    </row>
    <row r="21" spans="2:31">
      <c r="B21" s="5" t="s">
        <v>533</v>
      </c>
      <c r="C21" s="313"/>
      <c r="D21" s="313"/>
      <c r="E21" s="313"/>
      <c r="F21" s="313"/>
      <c r="G21" s="313"/>
      <c r="H21" s="4"/>
      <c r="I21" s="4"/>
      <c r="J21" s="4"/>
      <c r="K21" s="4"/>
      <c r="AA21" s="4">
        <v>28</v>
      </c>
      <c r="AB21">
        <v>3.5</v>
      </c>
      <c r="AD21" s="4">
        <v>30</v>
      </c>
      <c r="AE21" s="4">
        <v>70</v>
      </c>
    </row>
    <row r="22" spans="2:31">
      <c r="B22" s="5"/>
      <c r="AA22" s="4">
        <v>29</v>
      </c>
      <c r="AB22">
        <v>3.5</v>
      </c>
      <c r="AD22">
        <v>33</v>
      </c>
      <c r="AE22" s="4">
        <v>85</v>
      </c>
    </row>
    <row r="23" spans="2:31">
      <c r="AA23" s="4">
        <v>30</v>
      </c>
      <c r="AB23">
        <v>3</v>
      </c>
      <c r="AD23">
        <v>36</v>
      </c>
      <c r="AE23" s="4" t="s">
        <v>408</v>
      </c>
    </row>
    <row r="24" spans="2:31">
      <c r="AA24" s="4">
        <v>31</v>
      </c>
      <c r="AB24">
        <v>3</v>
      </c>
      <c r="AD24" s="4">
        <v>39</v>
      </c>
    </row>
    <row r="25" spans="2:31">
      <c r="AA25" s="4">
        <v>32</v>
      </c>
      <c r="AB25">
        <v>3</v>
      </c>
      <c r="AD25" s="4">
        <v>42</v>
      </c>
    </row>
    <row r="26" spans="2:31">
      <c r="AA26" s="4">
        <v>33</v>
      </c>
      <c r="AB26">
        <v>3</v>
      </c>
      <c r="AD26" s="4">
        <v>45</v>
      </c>
    </row>
    <row r="27" spans="2:31">
      <c r="AA27" s="4">
        <v>34</v>
      </c>
      <c r="AB27">
        <v>3</v>
      </c>
      <c r="AD27" s="4">
        <v>48</v>
      </c>
    </row>
    <row r="28" spans="2:31">
      <c r="AA28" s="4">
        <v>35</v>
      </c>
      <c r="AB28">
        <v>2.5</v>
      </c>
      <c r="AD28" s="4">
        <v>51</v>
      </c>
    </row>
    <row r="29" spans="2:31">
      <c r="AA29" s="4">
        <v>36</v>
      </c>
      <c r="AB29" s="4">
        <v>2.5</v>
      </c>
      <c r="AD29" s="4">
        <v>54</v>
      </c>
    </row>
    <row r="30" spans="2:31">
      <c r="AA30" s="4">
        <v>37</v>
      </c>
      <c r="AB30" s="4">
        <v>2.5</v>
      </c>
      <c r="AD30" s="4">
        <v>57</v>
      </c>
    </row>
    <row r="31" spans="2:31">
      <c r="AA31" s="4">
        <v>38</v>
      </c>
      <c r="AB31" s="4">
        <v>2.5</v>
      </c>
      <c r="AD31" s="4">
        <v>60</v>
      </c>
    </row>
    <row r="32" spans="2:31">
      <c r="AA32" s="4">
        <v>39</v>
      </c>
      <c r="AB32" s="4">
        <v>2.5</v>
      </c>
      <c r="AD32">
        <v>64</v>
      </c>
    </row>
    <row r="33" spans="27:30">
      <c r="AA33" s="4">
        <v>40</v>
      </c>
      <c r="AB33">
        <v>2</v>
      </c>
      <c r="AD33">
        <v>68</v>
      </c>
    </row>
    <row r="34" spans="27:30">
      <c r="AA34" s="4">
        <v>41</v>
      </c>
      <c r="AB34">
        <v>2</v>
      </c>
      <c r="AD34" s="4">
        <v>72</v>
      </c>
    </row>
    <row r="35" spans="27:30">
      <c r="AD35" s="4">
        <v>76</v>
      </c>
    </row>
    <row r="36" spans="27:30">
      <c r="AD36" s="4">
        <v>80</v>
      </c>
    </row>
    <row r="37" spans="27:30">
      <c r="AD37" s="4">
        <v>84</v>
      </c>
    </row>
    <row r="38" spans="27:30">
      <c r="AD38" s="4">
        <v>88</v>
      </c>
    </row>
    <row r="39" spans="27:30">
      <c r="AD39" s="4">
        <v>92</v>
      </c>
    </row>
    <row r="40" spans="27:30">
      <c r="AD40" s="4">
        <v>96</v>
      </c>
    </row>
    <row r="41" spans="27:30">
      <c r="AD41" s="4">
        <v>100</v>
      </c>
    </row>
    <row r="42" spans="27:30">
      <c r="AD42">
        <v>105</v>
      </c>
    </row>
    <row r="43" spans="27:30">
      <c r="AD43">
        <v>110</v>
      </c>
    </row>
    <row r="44" spans="27:30">
      <c r="AD44" s="4">
        <v>115</v>
      </c>
    </row>
    <row r="45" spans="27:30">
      <c r="AD45" s="4">
        <v>120</v>
      </c>
    </row>
    <row r="46" spans="27:30">
      <c r="AD46" s="4">
        <v>125</v>
      </c>
    </row>
    <row r="47" spans="27:30">
      <c r="AD47" s="4">
        <v>130</v>
      </c>
    </row>
    <row r="48" spans="27:30">
      <c r="AD48" s="4">
        <v>135</v>
      </c>
    </row>
    <row r="49" spans="30:30">
      <c r="AD49" s="4">
        <v>140</v>
      </c>
    </row>
    <row r="50" spans="30:30">
      <c r="AD50" s="4">
        <v>145</v>
      </c>
    </row>
    <row r="51" spans="30:30">
      <c r="AD51" s="4">
        <v>150</v>
      </c>
    </row>
    <row r="52" spans="30:30">
      <c r="AD52">
        <v>156</v>
      </c>
    </row>
    <row r="53" spans="30:30">
      <c r="AD53">
        <v>162</v>
      </c>
    </row>
    <row r="54" spans="30:30">
      <c r="AD54" s="4">
        <v>168</v>
      </c>
    </row>
    <row r="55" spans="30:30">
      <c r="AD55" s="4">
        <v>174</v>
      </c>
    </row>
    <row r="56" spans="30:30">
      <c r="AD56" s="4">
        <v>180</v>
      </c>
    </row>
    <row r="57" spans="30:30">
      <c r="AD57" s="4">
        <v>186</v>
      </c>
    </row>
    <row r="58" spans="30:30">
      <c r="AD58" s="4">
        <v>192</v>
      </c>
    </row>
    <row r="59" spans="30:30">
      <c r="AD59" s="4">
        <v>198</v>
      </c>
    </row>
    <row r="60" spans="30:30">
      <c r="AD60" s="4">
        <v>204</v>
      </c>
    </row>
    <row r="61" spans="30:30">
      <c r="AD61" s="4">
        <v>210</v>
      </c>
    </row>
    <row r="62" spans="30:30">
      <c r="AD62">
        <v>217</v>
      </c>
    </row>
    <row r="63" spans="30:30">
      <c r="AD63">
        <v>224</v>
      </c>
    </row>
    <row r="64" spans="30:30">
      <c r="AD64" s="4">
        <v>231</v>
      </c>
    </row>
    <row r="65" spans="30:30">
      <c r="AD65" s="4">
        <v>238</v>
      </c>
    </row>
    <row r="66" spans="30:30">
      <c r="AD66" s="4">
        <v>245</v>
      </c>
    </row>
    <row r="67" spans="30:30">
      <c r="AD67" s="4">
        <v>252</v>
      </c>
    </row>
    <row r="68" spans="30:30">
      <c r="AD68" s="4">
        <v>259</v>
      </c>
    </row>
    <row r="69" spans="30:30">
      <c r="AD69" s="4">
        <v>266</v>
      </c>
    </row>
    <row r="70" spans="30:30">
      <c r="AD70" s="4">
        <v>273</v>
      </c>
    </row>
    <row r="71" spans="30:30">
      <c r="AD71" s="4">
        <v>280</v>
      </c>
    </row>
    <row r="72" spans="30:30">
      <c r="AD72">
        <v>288</v>
      </c>
    </row>
    <row r="73" spans="30:30">
      <c r="AD73">
        <v>296</v>
      </c>
    </row>
    <row r="74" spans="30:30">
      <c r="AD74" s="4">
        <v>304</v>
      </c>
    </row>
    <row r="75" spans="30:30">
      <c r="AD75" s="4">
        <v>312</v>
      </c>
    </row>
    <row r="76" spans="30:30">
      <c r="AD76" s="4">
        <v>320</v>
      </c>
    </row>
    <row r="77" spans="30:30">
      <c r="AD77" s="4">
        <v>328</v>
      </c>
    </row>
    <row r="78" spans="30:30">
      <c r="AD78" s="4">
        <v>336</v>
      </c>
    </row>
    <row r="79" spans="30:30">
      <c r="AD79" s="4">
        <v>344</v>
      </c>
    </row>
    <row r="80" spans="30:30">
      <c r="AD80" s="4">
        <v>352</v>
      </c>
    </row>
    <row r="81" spans="30:30">
      <c r="AD81" s="4">
        <v>360</v>
      </c>
    </row>
    <row r="82" spans="30:30">
      <c r="AD82">
        <v>369</v>
      </c>
    </row>
    <row r="83" spans="30:30">
      <c r="AD83">
        <v>378</v>
      </c>
    </row>
    <row r="84" spans="30:30">
      <c r="AD84" s="4">
        <v>387</v>
      </c>
    </row>
    <row r="85" spans="30:30">
      <c r="AD85" s="4">
        <v>396</v>
      </c>
    </row>
    <row r="86" spans="30:30">
      <c r="AD86" s="4">
        <v>405</v>
      </c>
    </row>
    <row r="87" spans="30:30">
      <c r="AD87" s="4">
        <v>414</v>
      </c>
    </row>
    <row r="88" spans="30:30">
      <c r="AD88" s="4">
        <v>423</v>
      </c>
    </row>
    <row r="89" spans="30:30">
      <c r="AD89" s="4">
        <v>432</v>
      </c>
    </row>
    <row r="90" spans="30:30">
      <c r="AD90" s="4">
        <v>441</v>
      </c>
    </row>
    <row r="91" spans="30:30">
      <c r="AD91" s="4">
        <v>450</v>
      </c>
    </row>
    <row r="92" spans="30:30">
      <c r="AD92">
        <v>460</v>
      </c>
    </row>
    <row r="93" spans="30:30">
      <c r="AD93" s="4">
        <v>470</v>
      </c>
    </row>
    <row r="94" spans="30:30">
      <c r="AD94" s="4">
        <v>480</v>
      </c>
    </row>
    <row r="95" spans="30:30">
      <c r="AD95" s="4">
        <v>490</v>
      </c>
    </row>
    <row r="96" spans="30:30">
      <c r="AD96" s="4">
        <v>500</v>
      </c>
    </row>
    <row r="97" spans="30:30">
      <c r="AD97" s="4">
        <v>510</v>
      </c>
    </row>
    <row r="98" spans="30:30">
      <c r="AD98" s="4">
        <v>520</v>
      </c>
    </row>
    <row r="99" spans="30:30">
      <c r="AD99" s="4">
        <v>530</v>
      </c>
    </row>
    <row r="100" spans="30:30">
      <c r="AD100" s="4">
        <v>540</v>
      </c>
    </row>
    <row r="101" spans="30:30">
      <c r="AD101" s="4">
        <v>550</v>
      </c>
    </row>
    <row r="102" spans="30:30">
      <c r="AD102">
        <v>559</v>
      </c>
    </row>
    <row r="103" spans="30:30">
      <c r="AD103" s="4">
        <v>568</v>
      </c>
    </row>
    <row r="104" spans="30:30">
      <c r="AD104" s="4">
        <v>577</v>
      </c>
    </row>
    <row r="105" spans="30:30">
      <c r="AD105" s="4">
        <v>586</v>
      </c>
    </row>
    <row r="106" spans="30:30">
      <c r="AD106" s="4">
        <v>595</v>
      </c>
    </row>
    <row r="107" spans="30:30">
      <c r="AD107" s="4">
        <v>604</v>
      </c>
    </row>
    <row r="108" spans="30:30">
      <c r="AD108" s="4">
        <v>613</v>
      </c>
    </row>
    <row r="109" spans="30:30">
      <c r="AD109" s="4">
        <v>622</v>
      </c>
    </row>
    <row r="110" spans="30:30">
      <c r="AD110" s="4">
        <v>631</v>
      </c>
    </row>
    <row r="111" spans="30:30">
      <c r="AD111" s="4">
        <v>640</v>
      </c>
    </row>
    <row r="112" spans="30:30">
      <c r="AD112">
        <v>648</v>
      </c>
    </row>
    <row r="113" spans="30:30">
      <c r="AD113" s="4">
        <v>656</v>
      </c>
    </row>
    <row r="114" spans="30:30">
      <c r="AD114" s="4">
        <v>664</v>
      </c>
    </row>
    <row r="115" spans="30:30">
      <c r="AD115" s="4">
        <v>672</v>
      </c>
    </row>
    <row r="116" spans="30:30">
      <c r="AD116" s="4">
        <v>680</v>
      </c>
    </row>
    <row r="117" spans="30:30">
      <c r="AD117" s="4">
        <v>688</v>
      </c>
    </row>
    <row r="118" spans="30:30">
      <c r="AD118" s="4">
        <v>696</v>
      </c>
    </row>
    <row r="119" spans="30:30">
      <c r="AD119" s="4">
        <v>704</v>
      </c>
    </row>
    <row r="120" spans="30:30">
      <c r="AD120" s="4">
        <v>712</v>
      </c>
    </row>
    <row r="121" spans="30:30">
      <c r="AD121" s="4">
        <v>720</v>
      </c>
    </row>
    <row r="122" spans="30:30">
      <c r="AD122">
        <v>727</v>
      </c>
    </row>
    <row r="123" spans="30:30">
      <c r="AD123" s="4">
        <v>734</v>
      </c>
    </row>
    <row r="124" spans="30:30">
      <c r="AD124" s="4">
        <v>741</v>
      </c>
    </row>
    <row r="125" spans="30:30">
      <c r="AD125" s="4">
        <v>748</v>
      </c>
    </row>
    <row r="126" spans="30:30">
      <c r="AD126" s="4">
        <v>755</v>
      </c>
    </row>
    <row r="127" spans="30:30">
      <c r="AD127" s="4">
        <v>762</v>
      </c>
    </row>
    <row r="128" spans="30:30">
      <c r="AD128" s="4">
        <v>769</v>
      </c>
    </row>
    <row r="129" spans="30:30">
      <c r="AD129" s="4">
        <v>776</v>
      </c>
    </row>
    <row r="130" spans="30:30">
      <c r="AD130" s="4">
        <v>783</v>
      </c>
    </row>
    <row r="131" spans="30:30">
      <c r="AD131" s="4">
        <v>790</v>
      </c>
    </row>
    <row r="1048576" spans="29:29">
      <c r="AC1048576" s="4"/>
    </row>
  </sheetData>
  <mergeCells count="12">
    <mergeCell ref="J4:K4"/>
    <mergeCell ref="B2:D2"/>
    <mergeCell ref="F2:G2"/>
    <mergeCell ref="B7:G7"/>
    <mergeCell ref="I2:K2"/>
    <mergeCell ref="J3:K3"/>
    <mergeCell ref="I7:K7"/>
    <mergeCell ref="B11:F11"/>
    <mergeCell ref="H12:K12"/>
    <mergeCell ref="H16:K16"/>
    <mergeCell ref="H19:K19"/>
    <mergeCell ref="I8:J8"/>
  </mergeCells>
  <dataValidations count="6">
    <dataValidation type="list" allowBlank="1" showInputMessage="1" showErrorMessage="1" sqref="H18">
      <formula1>$AD$1:$AD$11</formula1>
    </dataValidation>
    <dataValidation type="list" allowBlank="1" showInputMessage="1" showErrorMessage="1" sqref="H14 B20">
      <formula1>$AC$13:$AC$19</formula1>
    </dataValidation>
    <dataValidation type="list" allowBlank="1" showInputMessage="1" showErrorMessage="1" sqref="I14">
      <formula1>IF($H$14="Psychika",$AD$1:$AD$2,$AD$1:$AD$4)</formula1>
    </dataValidation>
    <dataValidation type="list" allowBlank="1" showInputMessage="1" showErrorMessage="1" sqref="I9">
      <formula1>$AC$1:$AC$11</formula1>
    </dataValidation>
    <dataValidation type="list" allowBlank="1" showInputMessage="1" showErrorMessage="1" sqref="B13:B19">
      <formula1>$AC$12:$AC$19</formula1>
    </dataValidation>
    <dataValidation type="list" allowBlank="1" showInputMessage="1" showErrorMessage="1" sqref="D13:D19">
      <formula1>$AE$1:$AE$11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00"/>
  </sheetPr>
  <dimension ref="B1:AY54"/>
  <sheetViews>
    <sheetView workbookViewId="0"/>
  </sheetViews>
  <sheetFormatPr defaultRowHeight="15"/>
  <cols>
    <col min="2" max="2" width="25.42578125" customWidth="1"/>
    <col min="3" max="11" width="12.7109375" customWidth="1"/>
    <col min="27" max="29" width="9.140625" hidden="1" customWidth="1"/>
  </cols>
  <sheetData>
    <row r="1" spans="2:49">
      <c r="AA1">
        <v>1</v>
      </c>
      <c r="AB1">
        <v>1</v>
      </c>
      <c r="AC1" s="4" t="b">
        <v>0</v>
      </c>
    </row>
    <row r="2" spans="2:49">
      <c r="B2" s="631" t="s">
        <v>512</v>
      </c>
      <c r="C2" s="632"/>
      <c r="D2" s="632"/>
      <c r="E2" s="632"/>
      <c r="F2" s="632"/>
      <c r="G2" s="632"/>
      <c r="H2" s="632"/>
      <c r="I2" s="632"/>
      <c r="J2" s="632"/>
      <c r="K2" s="632"/>
      <c r="L2" s="325"/>
      <c r="M2" s="323"/>
      <c r="N2" s="323"/>
      <c r="O2" s="323"/>
      <c r="AA2">
        <v>2</v>
      </c>
      <c r="AB2">
        <v>2</v>
      </c>
      <c r="AC2" s="4" t="b">
        <v>1</v>
      </c>
    </row>
    <row r="3" spans="2:49" ht="30" customHeight="1">
      <c r="B3" s="310" t="s">
        <v>535</v>
      </c>
      <c r="C3" s="310" t="s">
        <v>529</v>
      </c>
      <c r="D3" s="445" t="s">
        <v>532</v>
      </c>
      <c r="E3" s="310" t="s">
        <v>528</v>
      </c>
      <c r="F3" s="310" t="s">
        <v>536</v>
      </c>
      <c r="G3" s="310" t="s">
        <v>537</v>
      </c>
      <c r="H3" s="310" t="s">
        <v>538</v>
      </c>
      <c r="I3" s="310" t="s">
        <v>540</v>
      </c>
      <c r="J3" s="310" t="s">
        <v>508</v>
      </c>
      <c r="K3" s="322" t="s">
        <v>539</v>
      </c>
      <c r="L3" s="326"/>
      <c r="M3" s="324"/>
      <c r="N3" s="80"/>
      <c r="O3" s="80"/>
      <c r="AA3" s="4">
        <v>3</v>
      </c>
      <c r="AB3">
        <v>4</v>
      </c>
      <c r="AC3" s="4"/>
    </row>
    <row r="4" spans="2:49">
      <c r="B4" s="281"/>
      <c r="C4" s="444"/>
      <c r="D4" s="446" t="str">
        <f>IF(C4="","",5*C4)</f>
        <v/>
      </c>
      <c r="E4" s="451"/>
      <c r="F4" s="311" t="str">
        <f>IF(B4="","",IF(AND(C4&lt;5,E4&gt;4),"min 2 kola","žádný"))</f>
        <v/>
      </c>
      <c r="G4" s="11" t="b">
        <v>0</v>
      </c>
      <c r="H4" s="311" t="str">
        <f>IF(B4="","",(C4-1)*10)</f>
        <v/>
      </c>
      <c r="I4" s="462" t="str">
        <f>IF(B4="","",IF(AND(G4,C4&gt;3),0,E4*10)&amp;" DB")</f>
        <v/>
      </c>
      <c r="J4" s="462" t="str">
        <f ca="1">IF(B4="","",INDIRECT("AB"&amp;E4)*IF(AND(G4,C4&gt;3),0.8,1))</f>
        <v/>
      </c>
      <c r="K4" s="462"/>
      <c r="L4" s="58" t="str">
        <f>IF(E4&lt;C4,"Nelze sesílat na nižším stupni než je stupeň kouzla","")</f>
        <v/>
      </c>
      <c r="AA4" s="4">
        <v>4</v>
      </c>
      <c r="AB4">
        <v>7</v>
      </c>
    </row>
    <row r="5" spans="2:49">
      <c r="B5" s="282"/>
      <c r="C5" s="448"/>
      <c r="D5" s="450" t="str">
        <f>IF(C5="","",5*C5)</f>
        <v/>
      </c>
      <c r="E5" s="449"/>
      <c r="F5" s="42" t="str">
        <f t="shared" ref="F5:F54" si="0">IF(B5="","",IF(AND(C5&lt;5,E5&gt;4),"min 2 kola","žádný"))</f>
        <v/>
      </c>
      <c r="G5" s="318" t="b">
        <v>0</v>
      </c>
      <c r="H5" s="42" t="str">
        <f t="shared" ref="H5:H54" si="1">IF(B5="","",(C5-1)*10)</f>
        <v/>
      </c>
      <c r="I5" s="464" t="str">
        <f t="shared" ref="I5:I54" si="2">IF(B5="","",IF(AND(G5,C5&gt;3),0,E5*10)&amp;" DB")</f>
        <v/>
      </c>
      <c r="J5" s="464" t="str">
        <f t="shared" ref="J5:J54" ca="1" si="3">IF(B5="","",INDIRECT("AB"&amp;E5)*IF(AND(G5,C5&gt;3),0.8,1))</f>
        <v/>
      </c>
      <c r="K5" s="464"/>
      <c r="L5" s="58" t="str">
        <f t="shared" ref="L5:L54" si="4">IF(E5&lt;C5,"Nelze sesílat na nižším stupni než je stupeň kouzla","")</f>
        <v/>
      </c>
      <c r="AA5" s="4">
        <v>5</v>
      </c>
      <c r="AB5">
        <v>11</v>
      </c>
    </row>
    <row r="6" spans="2:49">
      <c r="B6" s="282"/>
      <c r="C6" s="448"/>
      <c r="D6" s="450" t="str">
        <f>IF(C6="","",5*C6)</f>
        <v/>
      </c>
      <c r="E6" s="449"/>
      <c r="F6" s="42" t="str">
        <f t="shared" si="0"/>
        <v/>
      </c>
      <c r="G6" s="318" t="b">
        <v>0</v>
      </c>
      <c r="H6" s="42" t="str">
        <f t="shared" si="1"/>
        <v/>
      </c>
      <c r="I6" s="464" t="str">
        <f t="shared" si="2"/>
        <v/>
      </c>
      <c r="J6" s="464" t="str">
        <f t="shared" ca="1" si="3"/>
        <v/>
      </c>
      <c r="K6" s="464"/>
      <c r="L6" s="58" t="str">
        <f t="shared" si="4"/>
        <v/>
      </c>
      <c r="AA6" s="4">
        <v>6</v>
      </c>
      <c r="AB6">
        <v>16</v>
      </c>
    </row>
    <row r="7" spans="2:49">
      <c r="B7" s="282"/>
      <c r="C7" s="448"/>
      <c r="D7" s="450" t="str">
        <f>IF(C7="","",5*C7)</f>
        <v/>
      </c>
      <c r="E7" s="449"/>
      <c r="F7" s="42" t="str">
        <f t="shared" si="0"/>
        <v/>
      </c>
      <c r="G7" s="318" t="b">
        <v>0</v>
      </c>
      <c r="H7" s="42" t="str">
        <f t="shared" si="1"/>
        <v/>
      </c>
      <c r="I7" s="464" t="str">
        <f t="shared" si="2"/>
        <v/>
      </c>
      <c r="J7" s="464" t="str">
        <f t="shared" ca="1" si="3"/>
        <v/>
      </c>
      <c r="K7" s="464"/>
      <c r="L7" s="58" t="str">
        <f t="shared" si="4"/>
        <v/>
      </c>
      <c r="AA7" s="4">
        <v>7</v>
      </c>
      <c r="AB7">
        <v>22</v>
      </c>
    </row>
    <row r="8" spans="2:49">
      <c r="B8" s="282"/>
      <c r="C8" s="448"/>
      <c r="D8" s="450" t="str">
        <f>IF(C8="","",5*C8)</f>
        <v/>
      </c>
      <c r="E8" s="449"/>
      <c r="F8" s="42" t="str">
        <f t="shared" si="0"/>
        <v/>
      </c>
      <c r="G8" s="318" t="b">
        <v>0</v>
      </c>
      <c r="H8" s="42" t="str">
        <f t="shared" si="1"/>
        <v/>
      </c>
      <c r="I8" s="464" t="str">
        <f t="shared" si="2"/>
        <v/>
      </c>
      <c r="J8" s="464" t="str">
        <f t="shared" ca="1" si="3"/>
        <v/>
      </c>
      <c r="K8" s="464"/>
      <c r="L8" s="58" t="str">
        <f t="shared" si="4"/>
        <v/>
      </c>
      <c r="AA8" s="4">
        <v>8</v>
      </c>
      <c r="AB8">
        <v>29</v>
      </c>
    </row>
    <row r="9" spans="2:49">
      <c r="B9" s="282"/>
      <c r="C9" s="448"/>
      <c r="D9" s="450" t="str">
        <f t="shared" ref="D9:D54" si="5">IF(C9="","",5*C9)</f>
        <v/>
      </c>
      <c r="E9" s="449"/>
      <c r="F9" s="42" t="str">
        <f t="shared" si="0"/>
        <v/>
      </c>
      <c r="G9" s="318" t="b">
        <v>0</v>
      </c>
      <c r="H9" s="42" t="str">
        <f t="shared" si="1"/>
        <v/>
      </c>
      <c r="I9" s="464" t="str">
        <f t="shared" si="2"/>
        <v/>
      </c>
      <c r="J9" s="464" t="str">
        <f t="shared" ca="1" si="3"/>
        <v/>
      </c>
      <c r="K9" s="464"/>
      <c r="L9" s="58" t="str">
        <f t="shared" si="4"/>
        <v/>
      </c>
      <c r="AA9" s="4">
        <v>9</v>
      </c>
      <c r="AB9">
        <v>37</v>
      </c>
    </row>
    <row r="10" spans="2:49">
      <c r="B10" s="282"/>
      <c r="C10" s="448"/>
      <c r="D10" s="450" t="str">
        <f t="shared" si="5"/>
        <v/>
      </c>
      <c r="E10" s="449"/>
      <c r="F10" s="42" t="str">
        <f t="shared" si="0"/>
        <v/>
      </c>
      <c r="G10" s="318" t="b">
        <v>0</v>
      </c>
      <c r="H10" s="42" t="str">
        <f t="shared" si="1"/>
        <v/>
      </c>
      <c r="I10" s="464" t="str">
        <f t="shared" si="2"/>
        <v/>
      </c>
      <c r="J10" s="464" t="str">
        <f t="shared" ca="1" si="3"/>
        <v/>
      </c>
      <c r="K10" s="464"/>
      <c r="L10" s="58" t="str">
        <f t="shared" si="4"/>
        <v/>
      </c>
      <c r="AA10" s="4">
        <v>10</v>
      </c>
      <c r="AB10">
        <v>46</v>
      </c>
    </row>
    <row r="11" spans="2:49">
      <c r="B11" s="282"/>
      <c r="C11" s="448"/>
      <c r="D11" s="450" t="str">
        <f t="shared" si="5"/>
        <v/>
      </c>
      <c r="E11" s="449"/>
      <c r="F11" s="42" t="str">
        <f t="shared" si="0"/>
        <v/>
      </c>
      <c r="G11" s="318" t="b">
        <v>0</v>
      </c>
      <c r="H11" s="42" t="str">
        <f t="shared" si="1"/>
        <v/>
      </c>
      <c r="I11" s="464" t="str">
        <f t="shared" si="2"/>
        <v/>
      </c>
      <c r="J11" s="464" t="str">
        <f t="shared" ca="1" si="3"/>
        <v/>
      </c>
      <c r="K11" s="464"/>
      <c r="L11" s="58" t="str">
        <f t="shared" si="4"/>
        <v/>
      </c>
      <c r="AA11" s="4">
        <v>11</v>
      </c>
      <c r="AB11">
        <v>56</v>
      </c>
    </row>
    <row r="12" spans="2:49">
      <c r="B12" s="282"/>
      <c r="C12" s="448"/>
      <c r="D12" s="450" t="str">
        <f t="shared" si="5"/>
        <v/>
      </c>
      <c r="E12" s="449"/>
      <c r="F12" s="42" t="str">
        <f t="shared" si="0"/>
        <v/>
      </c>
      <c r="G12" s="318" t="b">
        <v>0</v>
      </c>
      <c r="H12" s="42" t="str">
        <f t="shared" si="1"/>
        <v/>
      </c>
      <c r="I12" s="464" t="str">
        <f t="shared" si="2"/>
        <v/>
      </c>
      <c r="J12" s="464" t="str">
        <f t="shared" ca="1" si="3"/>
        <v/>
      </c>
      <c r="K12" s="464"/>
      <c r="L12" s="58" t="str">
        <f t="shared" si="4"/>
        <v/>
      </c>
      <c r="AA12" s="4">
        <v>12</v>
      </c>
      <c r="AB12" s="4">
        <v>67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2:49">
      <c r="B13" s="282"/>
      <c r="C13" s="448"/>
      <c r="D13" s="450" t="str">
        <f t="shared" si="5"/>
        <v/>
      </c>
      <c r="E13" s="449"/>
      <c r="F13" s="42" t="str">
        <f t="shared" si="0"/>
        <v/>
      </c>
      <c r="G13" s="318" t="b">
        <v>0</v>
      </c>
      <c r="H13" s="42" t="str">
        <f t="shared" si="1"/>
        <v/>
      </c>
      <c r="I13" s="464" t="str">
        <f t="shared" si="2"/>
        <v/>
      </c>
      <c r="J13" s="464" t="str">
        <f t="shared" ca="1" si="3"/>
        <v/>
      </c>
      <c r="K13" s="464"/>
      <c r="L13" s="58" t="str">
        <f t="shared" si="4"/>
        <v/>
      </c>
      <c r="AA13" s="4">
        <v>13</v>
      </c>
      <c r="AB13">
        <v>79</v>
      </c>
    </row>
    <row r="14" spans="2:49">
      <c r="B14" s="282"/>
      <c r="C14" s="448"/>
      <c r="D14" s="450" t="str">
        <f t="shared" si="5"/>
        <v/>
      </c>
      <c r="E14" s="449"/>
      <c r="F14" s="42" t="str">
        <f t="shared" si="0"/>
        <v/>
      </c>
      <c r="G14" s="318" t="b">
        <v>0</v>
      </c>
      <c r="H14" s="42" t="str">
        <f t="shared" si="1"/>
        <v/>
      </c>
      <c r="I14" s="464" t="str">
        <f t="shared" si="2"/>
        <v/>
      </c>
      <c r="J14" s="464" t="str">
        <f t="shared" ca="1" si="3"/>
        <v/>
      </c>
      <c r="K14" s="464"/>
      <c r="L14" s="58" t="str">
        <f t="shared" si="4"/>
        <v/>
      </c>
      <c r="AA14" s="4">
        <v>14</v>
      </c>
      <c r="AB14">
        <v>92</v>
      </c>
    </row>
    <row r="15" spans="2:49">
      <c r="B15" s="282"/>
      <c r="C15" s="448"/>
      <c r="D15" s="450" t="str">
        <f t="shared" si="5"/>
        <v/>
      </c>
      <c r="E15" s="449"/>
      <c r="F15" s="42" t="str">
        <f t="shared" si="0"/>
        <v/>
      </c>
      <c r="G15" s="318" t="b">
        <v>0</v>
      </c>
      <c r="H15" s="42" t="str">
        <f t="shared" si="1"/>
        <v/>
      </c>
      <c r="I15" s="464" t="str">
        <f t="shared" si="2"/>
        <v/>
      </c>
      <c r="J15" s="464" t="str">
        <f t="shared" ca="1" si="3"/>
        <v/>
      </c>
      <c r="K15" s="464"/>
      <c r="L15" s="58" t="str">
        <f t="shared" si="4"/>
        <v/>
      </c>
      <c r="AA15" s="4">
        <v>15</v>
      </c>
      <c r="AB15">
        <v>106</v>
      </c>
    </row>
    <row r="16" spans="2:49">
      <c r="B16" s="282"/>
      <c r="C16" s="448"/>
      <c r="D16" s="450" t="str">
        <f t="shared" si="5"/>
        <v/>
      </c>
      <c r="E16" s="449"/>
      <c r="F16" s="42" t="str">
        <f t="shared" si="0"/>
        <v/>
      </c>
      <c r="G16" s="318" t="b">
        <v>0</v>
      </c>
      <c r="H16" s="42" t="str">
        <f t="shared" si="1"/>
        <v/>
      </c>
      <c r="I16" s="464" t="str">
        <f t="shared" si="2"/>
        <v/>
      </c>
      <c r="J16" s="464" t="str">
        <f t="shared" ca="1" si="3"/>
        <v/>
      </c>
      <c r="K16" s="464"/>
      <c r="L16" s="58" t="str">
        <f t="shared" si="4"/>
        <v/>
      </c>
      <c r="AA16" s="4">
        <v>16</v>
      </c>
      <c r="AB16">
        <v>121</v>
      </c>
    </row>
    <row r="17" spans="2:51">
      <c r="B17" s="282"/>
      <c r="C17" s="448"/>
      <c r="D17" s="450" t="str">
        <f t="shared" si="5"/>
        <v/>
      </c>
      <c r="E17" s="449"/>
      <c r="F17" s="42" t="str">
        <f t="shared" si="0"/>
        <v/>
      </c>
      <c r="G17" s="318" t="b">
        <v>0</v>
      </c>
      <c r="H17" s="42" t="str">
        <f t="shared" si="1"/>
        <v/>
      </c>
      <c r="I17" s="464" t="str">
        <f t="shared" si="2"/>
        <v/>
      </c>
      <c r="J17" s="464" t="str">
        <f t="shared" ca="1" si="3"/>
        <v/>
      </c>
      <c r="K17" s="464"/>
      <c r="L17" s="58" t="str">
        <f t="shared" si="4"/>
        <v/>
      </c>
      <c r="AA17" s="4">
        <v>17</v>
      </c>
      <c r="AB17">
        <v>137</v>
      </c>
    </row>
    <row r="18" spans="2:51">
      <c r="B18" s="282"/>
      <c r="C18" s="448"/>
      <c r="D18" s="450" t="str">
        <f t="shared" si="5"/>
        <v/>
      </c>
      <c r="E18" s="449"/>
      <c r="F18" s="42" t="str">
        <f t="shared" si="0"/>
        <v/>
      </c>
      <c r="G18" s="318" t="b">
        <v>0</v>
      </c>
      <c r="H18" s="42" t="str">
        <f t="shared" si="1"/>
        <v/>
      </c>
      <c r="I18" s="464" t="str">
        <f t="shared" si="2"/>
        <v/>
      </c>
      <c r="J18" s="464" t="str">
        <f t="shared" ca="1" si="3"/>
        <v/>
      </c>
      <c r="K18" s="464"/>
      <c r="L18" s="58" t="str">
        <f t="shared" si="4"/>
        <v/>
      </c>
      <c r="AA18" s="4">
        <v>18</v>
      </c>
      <c r="AB18">
        <v>154</v>
      </c>
    </row>
    <row r="19" spans="2:51">
      <c r="B19" s="282"/>
      <c r="C19" s="448"/>
      <c r="D19" s="450" t="str">
        <f t="shared" si="5"/>
        <v/>
      </c>
      <c r="E19" s="449"/>
      <c r="F19" s="42" t="str">
        <f t="shared" si="0"/>
        <v/>
      </c>
      <c r="G19" s="318" t="b">
        <v>0</v>
      </c>
      <c r="H19" s="42" t="str">
        <f t="shared" si="1"/>
        <v/>
      </c>
      <c r="I19" s="464" t="str">
        <f t="shared" si="2"/>
        <v/>
      </c>
      <c r="J19" s="464" t="str">
        <f t="shared" ca="1" si="3"/>
        <v/>
      </c>
      <c r="K19" s="464"/>
      <c r="L19" s="58" t="str">
        <f t="shared" si="4"/>
        <v/>
      </c>
      <c r="AA19" s="4">
        <v>19</v>
      </c>
      <c r="AB19">
        <v>172</v>
      </c>
    </row>
    <row r="20" spans="2:51">
      <c r="B20" s="282"/>
      <c r="C20" s="448"/>
      <c r="D20" s="450" t="str">
        <f t="shared" si="5"/>
        <v/>
      </c>
      <c r="E20" s="449"/>
      <c r="F20" s="42" t="str">
        <f t="shared" si="0"/>
        <v/>
      </c>
      <c r="G20" s="318" t="b">
        <v>0</v>
      </c>
      <c r="H20" s="42" t="str">
        <f t="shared" si="1"/>
        <v/>
      </c>
      <c r="I20" s="464" t="str">
        <f t="shared" si="2"/>
        <v/>
      </c>
      <c r="J20" s="464" t="str">
        <f t="shared" ca="1" si="3"/>
        <v/>
      </c>
      <c r="K20" s="464"/>
      <c r="L20" s="58" t="str">
        <f t="shared" si="4"/>
        <v/>
      </c>
      <c r="AA20" s="4">
        <v>20</v>
      </c>
      <c r="AB20">
        <v>191</v>
      </c>
    </row>
    <row r="21" spans="2:51">
      <c r="B21" s="282"/>
      <c r="C21" s="448"/>
      <c r="D21" s="450" t="str">
        <f t="shared" si="5"/>
        <v/>
      </c>
      <c r="E21" s="449"/>
      <c r="F21" s="42" t="str">
        <f t="shared" si="0"/>
        <v/>
      </c>
      <c r="G21" s="318" t="b">
        <v>0</v>
      </c>
      <c r="H21" s="42" t="str">
        <f t="shared" si="1"/>
        <v/>
      </c>
      <c r="I21" s="464" t="str">
        <f t="shared" si="2"/>
        <v/>
      </c>
      <c r="J21" s="464" t="str">
        <f t="shared" ca="1" si="3"/>
        <v/>
      </c>
      <c r="K21" s="464"/>
      <c r="L21" s="58" t="str">
        <f t="shared" si="4"/>
        <v/>
      </c>
      <c r="AA21" s="4">
        <v>21</v>
      </c>
      <c r="AB21">
        <v>211</v>
      </c>
    </row>
    <row r="22" spans="2:51">
      <c r="B22" s="282"/>
      <c r="C22" s="448"/>
      <c r="D22" s="450" t="str">
        <f t="shared" si="5"/>
        <v/>
      </c>
      <c r="E22" s="449"/>
      <c r="F22" s="42" t="str">
        <f t="shared" si="0"/>
        <v/>
      </c>
      <c r="G22" s="318" t="b">
        <v>0</v>
      </c>
      <c r="H22" s="42" t="str">
        <f t="shared" si="1"/>
        <v/>
      </c>
      <c r="I22" s="464" t="str">
        <f t="shared" si="2"/>
        <v/>
      </c>
      <c r="J22" s="464" t="str">
        <f t="shared" ca="1" si="3"/>
        <v/>
      </c>
      <c r="K22" s="464"/>
      <c r="L22" s="58" t="str">
        <f t="shared" si="4"/>
        <v/>
      </c>
      <c r="AA22" s="4">
        <v>22</v>
      </c>
      <c r="AB22">
        <v>232</v>
      </c>
    </row>
    <row r="23" spans="2:51">
      <c r="B23" s="282"/>
      <c r="C23" s="448"/>
      <c r="D23" s="450" t="str">
        <f t="shared" si="5"/>
        <v/>
      </c>
      <c r="E23" s="449"/>
      <c r="F23" s="42" t="str">
        <f t="shared" si="0"/>
        <v/>
      </c>
      <c r="G23" s="318" t="b">
        <v>0</v>
      </c>
      <c r="H23" s="42" t="str">
        <f t="shared" si="1"/>
        <v/>
      </c>
      <c r="I23" s="464" t="str">
        <f t="shared" si="2"/>
        <v/>
      </c>
      <c r="J23" s="464" t="str">
        <f t="shared" ca="1" si="3"/>
        <v/>
      </c>
      <c r="K23" s="464"/>
      <c r="L23" s="58" t="str">
        <f t="shared" si="4"/>
        <v/>
      </c>
      <c r="AA23" s="4">
        <v>23</v>
      </c>
      <c r="AB23">
        <v>254</v>
      </c>
    </row>
    <row r="24" spans="2:51">
      <c r="B24" s="282"/>
      <c r="C24" s="448"/>
      <c r="D24" s="450" t="str">
        <f t="shared" si="5"/>
        <v/>
      </c>
      <c r="E24" s="449"/>
      <c r="F24" s="42" t="str">
        <f t="shared" si="0"/>
        <v/>
      </c>
      <c r="G24" s="318" t="b">
        <v>0</v>
      </c>
      <c r="H24" s="42" t="str">
        <f t="shared" si="1"/>
        <v/>
      </c>
      <c r="I24" s="464" t="str">
        <f t="shared" si="2"/>
        <v/>
      </c>
      <c r="J24" s="464" t="str">
        <f t="shared" ca="1" si="3"/>
        <v/>
      </c>
      <c r="K24" s="464"/>
      <c r="L24" s="58" t="str">
        <f t="shared" si="4"/>
        <v/>
      </c>
      <c r="AA24" s="4">
        <v>24</v>
      </c>
      <c r="AB24">
        <v>277</v>
      </c>
    </row>
    <row r="25" spans="2:51">
      <c r="B25" s="282"/>
      <c r="C25" s="448"/>
      <c r="D25" s="450" t="str">
        <f t="shared" si="5"/>
        <v/>
      </c>
      <c r="E25" s="449"/>
      <c r="F25" s="42" t="str">
        <f t="shared" si="0"/>
        <v/>
      </c>
      <c r="G25" s="318" t="b">
        <v>0</v>
      </c>
      <c r="H25" s="42" t="str">
        <f t="shared" si="1"/>
        <v/>
      </c>
      <c r="I25" s="464" t="str">
        <f t="shared" si="2"/>
        <v/>
      </c>
      <c r="J25" s="464" t="str">
        <f t="shared" ca="1" si="3"/>
        <v/>
      </c>
      <c r="K25" s="464"/>
      <c r="L25" s="58" t="str">
        <f t="shared" si="4"/>
        <v/>
      </c>
      <c r="AA25" s="4">
        <v>25</v>
      </c>
      <c r="AB25">
        <v>301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2:51">
      <c r="B26" s="282"/>
      <c r="C26" s="448"/>
      <c r="D26" s="450" t="str">
        <f t="shared" si="5"/>
        <v/>
      </c>
      <c r="E26" s="449"/>
      <c r="F26" s="42" t="str">
        <f t="shared" si="0"/>
        <v/>
      </c>
      <c r="G26" s="318" t="b">
        <v>0</v>
      </c>
      <c r="H26" s="42" t="str">
        <f t="shared" si="1"/>
        <v/>
      </c>
      <c r="I26" s="464" t="str">
        <f t="shared" si="2"/>
        <v/>
      </c>
      <c r="J26" s="464" t="str">
        <f t="shared" ca="1" si="3"/>
        <v/>
      </c>
      <c r="K26" s="464"/>
      <c r="L26" s="58" t="str">
        <f t="shared" si="4"/>
        <v/>
      </c>
      <c r="AA26" s="4">
        <v>26</v>
      </c>
      <c r="AB26">
        <v>326</v>
      </c>
    </row>
    <row r="27" spans="2:51">
      <c r="B27" s="282"/>
      <c r="C27" s="448"/>
      <c r="D27" s="450" t="str">
        <f t="shared" si="5"/>
        <v/>
      </c>
      <c r="E27" s="449"/>
      <c r="F27" s="42" t="str">
        <f t="shared" si="0"/>
        <v/>
      </c>
      <c r="G27" s="318" t="b">
        <v>0</v>
      </c>
      <c r="H27" s="42" t="str">
        <f t="shared" si="1"/>
        <v/>
      </c>
      <c r="I27" s="464" t="str">
        <f t="shared" si="2"/>
        <v/>
      </c>
      <c r="J27" s="464" t="str">
        <f t="shared" ca="1" si="3"/>
        <v/>
      </c>
      <c r="K27" s="464"/>
      <c r="L27" s="58" t="str">
        <f t="shared" si="4"/>
        <v/>
      </c>
      <c r="AA27" s="4">
        <v>27</v>
      </c>
      <c r="AB27">
        <v>352</v>
      </c>
    </row>
    <row r="28" spans="2:51">
      <c r="B28" s="282"/>
      <c r="C28" s="448"/>
      <c r="D28" s="450" t="str">
        <f t="shared" si="5"/>
        <v/>
      </c>
      <c r="E28" s="449"/>
      <c r="F28" s="42" t="str">
        <f t="shared" si="0"/>
        <v/>
      </c>
      <c r="G28" s="318" t="b">
        <v>0</v>
      </c>
      <c r="H28" s="42" t="str">
        <f t="shared" si="1"/>
        <v/>
      </c>
      <c r="I28" s="464" t="str">
        <f t="shared" si="2"/>
        <v/>
      </c>
      <c r="J28" s="464" t="str">
        <f t="shared" ca="1" si="3"/>
        <v/>
      </c>
      <c r="K28" s="464"/>
      <c r="L28" s="58" t="str">
        <f t="shared" si="4"/>
        <v/>
      </c>
      <c r="AA28" s="4">
        <v>28</v>
      </c>
      <c r="AB28">
        <v>379</v>
      </c>
    </row>
    <row r="29" spans="2:51">
      <c r="B29" s="282"/>
      <c r="C29" s="448"/>
      <c r="D29" s="450" t="str">
        <f t="shared" si="5"/>
        <v/>
      </c>
      <c r="E29" s="449"/>
      <c r="F29" s="42" t="str">
        <f t="shared" si="0"/>
        <v/>
      </c>
      <c r="G29" s="318" t="b">
        <v>0</v>
      </c>
      <c r="H29" s="42" t="str">
        <f t="shared" si="1"/>
        <v/>
      </c>
      <c r="I29" s="464" t="str">
        <f t="shared" si="2"/>
        <v/>
      </c>
      <c r="J29" s="464" t="str">
        <f t="shared" ca="1" si="3"/>
        <v/>
      </c>
      <c r="K29" s="464"/>
      <c r="L29" s="58" t="str">
        <f t="shared" si="4"/>
        <v/>
      </c>
      <c r="AA29" s="4">
        <v>29</v>
      </c>
      <c r="AB29">
        <v>407</v>
      </c>
    </row>
    <row r="30" spans="2:51">
      <c r="B30" s="282"/>
      <c r="C30" s="448"/>
      <c r="D30" s="450" t="str">
        <f t="shared" si="5"/>
        <v/>
      </c>
      <c r="E30" s="449"/>
      <c r="F30" s="42" t="str">
        <f t="shared" si="0"/>
        <v/>
      </c>
      <c r="G30" s="318" t="b">
        <v>0</v>
      </c>
      <c r="H30" s="42" t="str">
        <f t="shared" si="1"/>
        <v/>
      </c>
      <c r="I30" s="464" t="str">
        <f t="shared" si="2"/>
        <v/>
      </c>
      <c r="J30" s="464" t="str">
        <f t="shared" ca="1" si="3"/>
        <v/>
      </c>
      <c r="K30" s="464"/>
      <c r="L30" s="58" t="str">
        <f t="shared" si="4"/>
        <v/>
      </c>
      <c r="AA30" s="4">
        <v>30</v>
      </c>
      <c r="AB30">
        <v>436</v>
      </c>
    </row>
    <row r="31" spans="2:51">
      <c r="B31" s="282"/>
      <c r="C31" s="448"/>
      <c r="D31" s="450" t="str">
        <f t="shared" si="5"/>
        <v/>
      </c>
      <c r="E31" s="449"/>
      <c r="F31" s="42" t="str">
        <f t="shared" si="0"/>
        <v/>
      </c>
      <c r="G31" s="318" t="b">
        <v>0</v>
      </c>
      <c r="H31" s="42" t="str">
        <f t="shared" si="1"/>
        <v/>
      </c>
      <c r="I31" s="464" t="str">
        <f t="shared" si="2"/>
        <v/>
      </c>
      <c r="J31" s="464" t="str">
        <f t="shared" ca="1" si="3"/>
        <v/>
      </c>
      <c r="K31" s="464"/>
      <c r="L31" s="58" t="str">
        <f t="shared" si="4"/>
        <v/>
      </c>
      <c r="AA31" s="4"/>
    </row>
    <row r="32" spans="2:51">
      <c r="B32" s="282"/>
      <c r="C32" s="448"/>
      <c r="D32" s="450" t="str">
        <f t="shared" si="5"/>
        <v/>
      </c>
      <c r="E32" s="449"/>
      <c r="F32" s="42" t="str">
        <f t="shared" si="0"/>
        <v/>
      </c>
      <c r="G32" s="318" t="b">
        <v>0</v>
      </c>
      <c r="H32" s="42" t="str">
        <f t="shared" si="1"/>
        <v/>
      </c>
      <c r="I32" s="464" t="str">
        <f t="shared" si="2"/>
        <v/>
      </c>
      <c r="J32" s="464" t="str">
        <f t="shared" ca="1" si="3"/>
        <v/>
      </c>
      <c r="K32" s="464"/>
      <c r="L32" s="58" t="str">
        <f t="shared" si="4"/>
        <v/>
      </c>
      <c r="AA32" s="4"/>
    </row>
    <row r="33" spans="2:27">
      <c r="B33" s="282"/>
      <c r="C33" s="448"/>
      <c r="D33" s="450" t="str">
        <f t="shared" si="5"/>
        <v/>
      </c>
      <c r="E33" s="449"/>
      <c r="F33" s="42" t="str">
        <f t="shared" si="0"/>
        <v/>
      </c>
      <c r="G33" s="318" t="b">
        <v>0</v>
      </c>
      <c r="H33" s="42" t="str">
        <f t="shared" si="1"/>
        <v/>
      </c>
      <c r="I33" s="464" t="str">
        <f t="shared" si="2"/>
        <v/>
      </c>
      <c r="J33" s="464" t="str">
        <f t="shared" ca="1" si="3"/>
        <v/>
      </c>
      <c r="K33" s="464"/>
      <c r="L33" s="58" t="str">
        <f t="shared" si="4"/>
        <v/>
      </c>
      <c r="AA33" s="4"/>
    </row>
    <row r="34" spans="2:27">
      <c r="B34" s="282"/>
      <c r="C34" s="448"/>
      <c r="D34" s="450" t="str">
        <f t="shared" si="5"/>
        <v/>
      </c>
      <c r="E34" s="449"/>
      <c r="F34" s="42" t="str">
        <f t="shared" si="0"/>
        <v/>
      </c>
      <c r="G34" s="318" t="b">
        <v>0</v>
      </c>
      <c r="H34" s="42" t="str">
        <f t="shared" si="1"/>
        <v/>
      </c>
      <c r="I34" s="464" t="str">
        <f t="shared" si="2"/>
        <v/>
      </c>
      <c r="J34" s="464" t="str">
        <f t="shared" ca="1" si="3"/>
        <v/>
      </c>
      <c r="K34" s="464"/>
      <c r="L34" s="58" t="str">
        <f t="shared" si="4"/>
        <v/>
      </c>
      <c r="AA34" s="4"/>
    </row>
    <row r="35" spans="2:27">
      <c r="B35" s="282"/>
      <c r="C35" s="448"/>
      <c r="D35" s="450" t="str">
        <f t="shared" si="5"/>
        <v/>
      </c>
      <c r="E35" s="449"/>
      <c r="F35" s="42" t="str">
        <f t="shared" si="0"/>
        <v/>
      </c>
      <c r="G35" s="318" t="b">
        <v>0</v>
      </c>
      <c r="H35" s="42" t="str">
        <f t="shared" si="1"/>
        <v/>
      </c>
      <c r="I35" s="464" t="str">
        <f t="shared" si="2"/>
        <v/>
      </c>
      <c r="J35" s="464" t="str">
        <f t="shared" ca="1" si="3"/>
        <v/>
      </c>
      <c r="K35" s="464"/>
      <c r="L35" s="58" t="str">
        <f t="shared" si="4"/>
        <v/>
      </c>
      <c r="AA35" s="4"/>
    </row>
    <row r="36" spans="2:27">
      <c r="B36" s="282"/>
      <c r="C36" s="448"/>
      <c r="D36" s="450" t="str">
        <f t="shared" si="5"/>
        <v/>
      </c>
      <c r="E36" s="449"/>
      <c r="F36" s="42" t="str">
        <f t="shared" si="0"/>
        <v/>
      </c>
      <c r="G36" s="318" t="b">
        <v>0</v>
      </c>
      <c r="H36" s="42" t="str">
        <f t="shared" si="1"/>
        <v/>
      </c>
      <c r="I36" s="464" t="str">
        <f t="shared" si="2"/>
        <v/>
      </c>
      <c r="J36" s="464" t="str">
        <f t="shared" ca="1" si="3"/>
        <v/>
      </c>
      <c r="K36" s="464"/>
      <c r="L36" s="58" t="str">
        <f t="shared" si="4"/>
        <v/>
      </c>
      <c r="AA36" s="4"/>
    </row>
    <row r="37" spans="2:27">
      <c r="B37" s="282"/>
      <c r="C37" s="448"/>
      <c r="D37" s="450" t="str">
        <f t="shared" si="5"/>
        <v/>
      </c>
      <c r="E37" s="449"/>
      <c r="F37" s="42" t="str">
        <f t="shared" si="0"/>
        <v/>
      </c>
      <c r="G37" s="318" t="b">
        <v>0</v>
      </c>
      <c r="H37" s="42" t="str">
        <f t="shared" si="1"/>
        <v/>
      </c>
      <c r="I37" s="464" t="str">
        <f t="shared" si="2"/>
        <v/>
      </c>
      <c r="J37" s="464" t="str">
        <f t="shared" ca="1" si="3"/>
        <v/>
      </c>
      <c r="K37" s="464"/>
      <c r="L37" s="58" t="str">
        <f t="shared" si="4"/>
        <v/>
      </c>
      <c r="AA37" s="4"/>
    </row>
    <row r="38" spans="2:27">
      <c r="B38" s="282"/>
      <c r="C38" s="448"/>
      <c r="D38" s="450" t="str">
        <f t="shared" si="5"/>
        <v/>
      </c>
      <c r="E38" s="449"/>
      <c r="F38" s="42" t="str">
        <f t="shared" si="0"/>
        <v/>
      </c>
      <c r="G38" s="318" t="b">
        <v>0</v>
      </c>
      <c r="H38" s="42" t="str">
        <f t="shared" si="1"/>
        <v/>
      </c>
      <c r="I38" s="464" t="str">
        <f t="shared" si="2"/>
        <v/>
      </c>
      <c r="J38" s="464" t="str">
        <f t="shared" ca="1" si="3"/>
        <v/>
      </c>
      <c r="K38" s="464"/>
      <c r="L38" s="58" t="str">
        <f t="shared" si="4"/>
        <v/>
      </c>
      <c r="AA38" s="4"/>
    </row>
    <row r="39" spans="2:27">
      <c r="B39" s="282"/>
      <c r="C39" s="448"/>
      <c r="D39" s="450" t="str">
        <f t="shared" si="5"/>
        <v/>
      </c>
      <c r="E39" s="449"/>
      <c r="F39" s="42" t="str">
        <f t="shared" si="0"/>
        <v/>
      </c>
      <c r="G39" s="318" t="b">
        <v>0</v>
      </c>
      <c r="H39" s="42" t="str">
        <f t="shared" si="1"/>
        <v/>
      </c>
      <c r="I39" s="464" t="str">
        <f t="shared" si="2"/>
        <v/>
      </c>
      <c r="J39" s="464" t="str">
        <f t="shared" ca="1" si="3"/>
        <v/>
      </c>
      <c r="K39" s="464"/>
      <c r="L39" s="58" t="str">
        <f t="shared" si="4"/>
        <v/>
      </c>
      <c r="AA39" s="4"/>
    </row>
    <row r="40" spans="2:27">
      <c r="B40" s="282"/>
      <c r="C40" s="448"/>
      <c r="D40" s="450" t="str">
        <f t="shared" si="5"/>
        <v/>
      </c>
      <c r="E40" s="449"/>
      <c r="F40" s="42" t="str">
        <f t="shared" si="0"/>
        <v/>
      </c>
      <c r="G40" s="318" t="b">
        <v>0</v>
      </c>
      <c r="H40" s="42" t="str">
        <f t="shared" si="1"/>
        <v/>
      </c>
      <c r="I40" s="464" t="str">
        <f t="shared" si="2"/>
        <v/>
      </c>
      <c r="J40" s="464" t="str">
        <f t="shared" ca="1" si="3"/>
        <v/>
      </c>
      <c r="K40" s="464"/>
      <c r="L40" s="58" t="str">
        <f t="shared" si="4"/>
        <v/>
      </c>
      <c r="AA40" s="4"/>
    </row>
    <row r="41" spans="2:27">
      <c r="B41" s="282"/>
      <c r="C41" s="448"/>
      <c r="D41" s="450" t="str">
        <f t="shared" si="5"/>
        <v/>
      </c>
      <c r="E41" s="449"/>
      <c r="F41" s="42" t="str">
        <f t="shared" si="0"/>
        <v/>
      </c>
      <c r="G41" s="318" t="b">
        <v>0</v>
      </c>
      <c r="H41" s="42" t="str">
        <f t="shared" si="1"/>
        <v/>
      </c>
      <c r="I41" s="464" t="str">
        <f t="shared" si="2"/>
        <v/>
      </c>
      <c r="J41" s="464" t="str">
        <f t="shared" ca="1" si="3"/>
        <v/>
      </c>
      <c r="K41" s="464"/>
      <c r="L41" s="58" t="str">
        <f t="shared" si="4"/>
        <v/>
      </c>
      <c r="AA41" s="4"/>
    </row>
    <row r="42" spans="2:27">
      <c r="B42" s="282"/>
      <c r="C42" s="448"/>
      <c r="D42" s="450" t="str">
        <f t="shared" si="5"/>
        <v/>
      </c>
      <c r="E42" s="449"/>
      <c r="F42" s="42" t="str">
        <f t="shared" si="0"/>
        <v/>
      </c>
      <c r="G42" s="318" t="b">
        <v>0</v>
      </c>
      <c r="H42" s="42" t="str">
        <f t="shared" si="1"/>
        <v/>
      </c>
      <c r="I42" s="464" t="str">
        <f t="shared" si="2"/>
        <v/>
      </c>
      <c r="J42" s="464" t="str">
        <f t="shared" ca="1" si="3"/>
        <v/>
      </c>
      <c r="K42" s="464"/>
      <c r="L42" s="58" t="str">
        <f t="shared" si="4"/>
        <v/>
      </c>
      <c r="AA42" s="4"/>
    </row>
    <row r="43" spans="2:27">
      <c r="B43" s="282"/>
      <c r="C43" s="448"/>
      <c r="D43" s="450" t="str">
        <f t="shared" si="5"/>
        <v/>
      </c>
      <c r="E43" s="449"/>
      <c r="F43" s="42" t="str">
        <f t="shared" si="0"/>
        <v/>
      </c>
      <c r="G43" s="318" t="b">
        <v>0</v>
      </c>
      <c r="H43" s="42" t="str">
        <f t="shared" si="1"/>
        <v/>
      </c>
      <c r="I43" s="464" t="str">
        <f t="shared" si="2"/>
        <v/>
      </c>
      <c r="J43" s="464" t="str">
        <f t="shared" ca="1" si="3"/>
        <v/>
      </c>
      <c r="K43" s="464"/>
      <c r="L43" s="58" t="str">
        <f t="shared" si="4"/>
        <v/>
      </c>
      <c r="AA43" s="4"/>
    </row>
    <row r="44" spans="2:27">
      <c r="B44" s="282"/>
      <c r="C44" s="448"/>
      <c r="D44" s="450" t="str">
        <f t="shared" si="5"/>
        <v/>
      </c>
      <c r="E44" s="449"/>
      <c r="F44" s="42" t="str">
        <f t="shared" si="0"/>
        <v/>
      </c>
      <c r="G44" s="318" t="b">
        <v>0</v>
      </c>
      <c r="H44" s="42" t="str">
        <f t="shared" si="1"/>
        <v/>
      </c>
      <c r="I44" s="464" t="str">
        <f t="shared" si="2"/>
        <v/>
      </c>
      <c r="J44" s="464" t="str">
        <f t="shared" ca="1" si="3"/>
        <v/>
      </c>
      <c r="K44" s="464"/>
      <c r="L44" s="58" t="str">
        <f t="shared" si="4"/>
        <v/>
      </c>
      <c r="AA44" s="4"/>
    </row>
    <row r="45" spans="2:27">
      <c r="B45" s="282"/>
      <c r="C45" s="448"/>
      <c r="D45" s="450" t="str">
        <f t="shared" si="5"/>
        <v/>
      </c>
      <c r="E45" s="449"/>
      <c r="F45" s="42" t="str">
        <f t="shared" si="0"/>
        <v/>
      </c>
      <c r="G45" s="318" t="b">
        <v>0</v>
      </c>
      <c r="H45" s="42" t="str">
        <f t="shared" si="1"/>
        <v/>
      </c>
      <c r="I45" s="464" t="str">
        <f t="shared" si="2"/>
        <v/>
      </c>
      <c r="J45" s="464" t="str">
        <f t="shared" ca="1" si="3"/>
        <v/>
      </c>
      <c r="K45" s="464"/>
      <c r="L45" s="58" t="str">
        <f t="shared" si="4"/>
        <v/>
      </c>
      <c r="AA45" s="4"/>
    </row>
    <row r="46" spans="2:27">
      <c r="B46" s="282"/>
      <c r="C46" s="448"/>
      <c r="D46" s="450" t="str">
        <f t="shared" si="5"/>
        <v/>
      </c>
      <c r="E46" s="449"/>
      <c r="F46" s="42" t="str">
        <f t="shared" si="0"/>
        <v/>
      </c>
      <c r="G46" s="318" t="b">
        <v>0</v>
      </c>
      <c r="H46" s="42" t="str">
        <f t="shared" si="1"/>
        <v/>
      </c>
      <c r="I46" s="464" t="str">
        <f t="shared" si="2"/>
        <v/>
      </c>
      <c r="J46" s="464" t="str">
        <f t="shared" ca="1" si="3"/>
        <v/>
      </c>
      <c r="K46" s="464"/>
      <c r="L46" s="58" t="str">
        <f t="shared" si="4"/>
        <v/>
      </c>
      <c r="AA46" s="4"/>
    </row>
    <row r="47" spans="2:27">
      <c r="B47" s="282"/>
      <c r="C47" s="448"/>
      <c r="D47" s="450" t="str">
        <f t="shared" si="5"/>
        <v/>
      </c>
      <c r="E47" s="449"/>
      <c r="F47" s="42" t="str">
        <f t="shared" si="0"/>
        <v/>
      </c>
      <c r="G47" s="318" t="b">
        <v>0</v>
      </c>
      <c r="H47" s="42" t="str">
        <f t="shared" si="1"/>
        <v/>
      </c>
      <c r="I47" s="464" t="str">
        <f t="shared" si="2"/>
        <v/>
      </c>
      <c r="J47" s="464" t="str">
        <f t="shared" ca="1" si="3"/>
        <v/>
      </c>
      <c r="K47" s="464"/>
      <c r="L47" s="58" t="str">
        <f t="shared" si="4"/>
        <v/>
      </c>
    </row>
    <row r="48" spans="2:27">
      <c r="B48" s="282"/>
      <c r="C48" s="448"/>
      <c r="D48" s="450" t="str">
        <f t="shared" si="5"/>
        <v/>
      </c>
      <c r="E48" s="449"/>
      <c r="F48" s="42" t="str">
        <f t="shared" si="0"/>
        <v/>
      </c>
      <c r="G48" s="318" t="b">
        <v>0</v>
      </c>
      <c r="H48" s="42" t="str">
        <f t="shared" si="1"/>
        <v/>
      </c>
      <c r="I48" s="464" t="str">
        <f t="shared" si="2"/>
        <v/>
      </c>
      <c r="J48" s="464" t="str">
        <f t="shared" ca="1" si="3"/>
        <v/>
      </c>
      <c r="K48" s="464"/>
      <c r="L48" s="58" t="str">
        <f t="shared" si="4"/>
        <v/>
      </c>
    </row>
    <row r="49" spans="2:12">
      <c r="B49" s="282"/>
      <c r="C49" s="448"/>
      <c r="D49" s="450" t="str">
        <f t="shared" si="5"/>
        <v/>
      </c>
      <c r="E49" s="449"/>
      <c r="F49" s="42" t="str">
        <f t="shared" si="0"/>
        <v/>
      </c>
      <c r="G49" s="318" t="b">
        <v>0</v>
      </c>
      <c r="H49" s="42" t="str">
        <f t="shared" si="1"/>
        <v/>
      </c>
      <c r="I49" s="464" t="str">
        <f t="shared" si="2"/>
        <v/>
      </c>
      <c r="J49" s="464" t="str">
        <f t="shared" ca="1" si="3"/>
        <v/>
      </c>
      <c r="K49" s="464"/>
      <c r="L49" s="58" t="str">
        <f t="shared" si="4"/>
        <v/>
      </c>
    </row>
    <row r="50" spans="2:12">
      <c r="B50" s="282"/>
      <c r="C50" s="448"/>
      <c r="D50" s="450" t="str">
        <f t="shared" si="5"/>
        <v/>
      </c>
      <c r="E50" s="449"/>
      <c r="F50" s="42" t="str">
        <f t="shared" si="0"/>
        <v/>
      </c>
      <c r="G50" s="318" t="b">
        <v>0</v>
      </c>
      <c r="H50" s="42" t="str">
        <f t="shared" si="1"/>
        <v/>
      </c>
      <c r="I50" s="464" t="str">
        <f t="shared" si="2"/>
        <v/>
      </c>
      <c r="J50" s="464" t="str">
        <f t="shared" ca="1" si="3"/>
        <v/>
      </c>
      <c r="K50" s="464"/>
      <c r="L50" s="58" t="str">
        <f t="shared" si="4"/>
        <v/>
      </c>
    </row>
    <row r="51" spans="2:12">
      <c r="B51" s="282"/>
      <c r="C51" s="448"/>
      <c r="D51" s="450" t="str">
        <f t="shared" si="5"/>
        <v/>
      </c>
      <c r="E51" s="449"/>
      <c r="F51" s="42" t="str">
        <f t="shared" si="0"/>
        <v/>
      </c>
      <c r="G51" s="318" t="b">
        <v>0</v>
      </c>
      <c r="H51" s="42" t="str">
        <f t="shared" si="1"/>
        <v/>
      </c>
      <c r="I51" s="464" t="str">
        <f t="shared" si="2"/>
        <v/>
      </c>
      <c r="J51" s="464" t="str">
        <f t="shared" ca="1" si="3"/>
        <v/>
      </c>
      <c r="K51" s="464"/>
      <c r="L51" s="58" t="str">
        <f t="shared" si="4"/>
        <v/>
      </c>
    </row>
    <row r="52" spans="2:12">
      <c r="B52" s="282"/>
      <c r="C52" s="448"/>
      <c r="D52" s="450" t="str">
        <f t="shared" si="5"/>
        <v/>
      </c>
      <c r="E52" s="449"/>
      <c r="F52" s="42" t="str">
        <f t="shared" si="0"/>
        <v/>
      </c>
      <c r="G52" s="318" t="b">
        <v>0</v>
      </c>
      <c r="H52" s="42" t="str">
        <f t="shared" si="1"/>
        <v/>
      </c>
      <c r="I52" s="464" t="str">
        <f t="shared" si="2"/>
        <v/>
      </c>
      <c r="J52" s="464" t="str">
        <f t="shared" ca="1" si="3"/>
        <v/>
      </c>
      <c r="K52" s="464"/>
      <c r="L52" s="58" t="str">
        <f t="shared" si="4"/>
        <v/>
      </c>
    </row>
    <row r="53" spans="2:12">
      <c r="B53" s="282"/>
      <c r="C53" s="448"/>
      <c r="D53" s="450" t="str">
        <f t="shared" si="5"/>
        <v/>
      </c>
      <c r="E53" s="449"/>
      <c r="F53" s="42" t="str">
        <f t="shared" si="0"/>
        <v/>
      </c>
      <c r="G53" s="318" t="b">
        <v>0</v>
      </c>
      <c r="H53" s="42" t="str">
        <f t="shared" si="1"/>
        <v/>
      </c>
      <c r="I53" s="464" t="str">
        <f t="shared" si="2"/>
        <v/>
      </c>
      <c r="J53" s="464" t="str">
        <f t="shared" ca="1" si="3"/>
        <v/>
      </c>
      <c r="K53" s="464"/>
      <c r="L53" s="58" t="str">
        <f t="shared" si="4"/>
        <v/>
      </c>
    </row>
    <row r="54" spans="2:12">
      <c r="B54" s="327"/>
      <c r="C54" s="452"/>
      <c r="D54" s="447" t="str">
        <f t="shared" si="5"/>
        <v/>
      </c>
      <c r="E54" s="453"/>
      <c r="F54" s="312" t="str">
        <f t="shared" si="0"/>
        <v/>
      </c>
      <c r="G54" s="319" t="b">
        <v>0</v>
      </c>
      <c r="H54" s="312" t="str">
        <f t="shared" si="1"/>
        <v/>
      </c>
      <c r="I54" s="463" t="str">
        <f t="shared" si="2"/>
        <v/>
      </c>
      <c r="J54" s="463" t="str">
        <f t="shared" ca="1" si="3"/>
        <v/>
      </c>
      <c r="K54" s="463"/>
      <c r="L54" s="58" t="str">
        <f t="shared" si="4"/>
        <v/>
      </c>
    </row>
  </sheetData>
  <mergeCells count="1">
    <mergeCell ref="B2:K2"/>
  </mergeCells>
  <conditionalFormatting sqref="G4:H54">
    <cfRule type="expression" dxfId="24" priority="1">
      <formula>$C4&lt;4</formula>
    </cfRule>
  </conditionalFormatting>
  <dataValidations count="3">
    <dataValidation type="list" allowBlank="1" showInputMessage="1" showErrorMessage="1" sqref="E4:E54">
      <formula1>INDIRECT("AA"&amp;C4):$AA$30</formula1>
    </dataValidation>
    <dataValidation type="list" allowBlank="1" showInputMessage="1" showErrorMessage="1" sqref="G4:G54">
      <formula1>$AC$1:$AC$2</formula1>
    </dataValidation>
    <dataValidation type="list" allowBlank="1" showInputMessage="1" showErrorMessage="1" sqref="C4:C54">
      <formula1>$AA$1:$AA$11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7030A0"/>
  </sheetPr>
  <dimension ref="B2:M55"/>
  <sheetViews>
    <sheetView workbookViewId="0"/>
  </sheetViews>
  <sheetFormatPr defaultRowHeight="15"/>
  <cols>
    <col min="2" max="2" width="16.7109375" customWidth="1"/>
    <col min="3" max="5" width="9.140625" customWidth="1"/>
    <col min="6" max="6" width="16.7109375" customWidth="1"/>
    <col min="7" max="9" width="9.140625" customWidth="1"/>
    <col min="10" max="12" width="12.7109375" customWidth="1"/>
    <col min="13" max="13" width="15.85546875" customWidth="1"/>
    <col min="14" max="16" width="9.140625" customWidth="1"/>
  </cols>
  <sheetData>
    <row r="2" spans="2:13">
      <c r="B2" s="639" t="s">
        <v>444</v>
      </c>
      <c r="C2" s="640"/>
      <c r="D2" s="641"/>
      <c r="E2" s="4"/>
      <c r="F2" s="636" t="s">
        <v>38</v>
      </c>
      <c r="G2" s="637"/>
      <c r="H2" s="638"/>
      <c r="I2" s="101"/>
      <c r="J2" s="646" t="s">
        <v>12</v>
      </c>
      <c r="K2" s="647"/>
      <c r="L2" s="638"/>
    </row>
    <row r="3" spans="2:13">
      <c r="B3" s="159" t="s">
        <v>16</v>
      </c>
      <c r="C3" s="159" t="s">
        <v>33</v>
      </c>
      <c r="D3" s="160" t="s">
        <v>35</v>
      </c>
      <c r="E3" s="2"/>
      <c r="F3" s="159" t="s">
        <v>16</v>
      </c>
      <c r="G3" s="159" t="s">
        <v>33</v>
      </c>
      <c r="H3" s="160" t="s">
        <v>35</v>
      </c>
      <c r="I3" s="100"/>
      <c r="J3" s="161" t="s">
        <v>333</v>
      </c>
      <c r="K3" s="142">
        <v>0</v>
      </c>
      <c r="L3" s="644" t="str">
        <f>K5+FLOOR((K4+FLOOR(K3/100,1))/100,1)&amp;"g, "&amp;MOD(K4+FLOOR(K3/100,1),100)&amp;"s, "&amp;MOD(K3,100)&amp;"c"</f>
        <v>0g, 0s, 0c</v>
      </c>
    </row>
    <row r="4" spans="2:13">
      <c r="B4" s="12"/>
      <c r="C4" s="120"/>
      <c r="D4" s="233"/>
      <c r="E4" s="3"/>
      <c r="F4" s="51"/>
      <c r="G4" s="120"/>
      <c r="H4" s="232"/>
      <c r="J4" s="162" t="s">
        <v>334</v>
      </c>
      <c r="K4" s="143">
        <v>0</v>
      </c>
      <c r="L4" s="644"/>
    </row>
    <row r="5" spans="2:13">
      <c r="B5" s="336"/>
      <c r="C5" s="42"/>
      <c r="D5" s="234"/>
      <c r="E5" s="3"/>
      <c r="F5" s="47"/>
      <c r="G5" s="42"/>
      <c r="H5" s="237"/>
      <c r="I5" s="4"/>
      <c r="J5" s="163" t="s">
        <v>335</v>
      </c>
      <c r="K5" s="164">
        <v>0</v>
      </c>
      <c r="L5" s="645"/>
    </row>
    <row r="6" spans="2:13">
      <c r="B6" s="13"/>
      <c r="C6" s="235"/>
      <c r="D6" s="234"/>
      <c r="E6" s="4"/>
      <c r="F6" s="47"/>
      <c r="G6" s="42"/>
      <c r="H6" s="237"/>
      <c r="I6" s="4"/>
      <c r="J6" s="100"/>
    </row>
    <row r="7" spans="2:13">
      <c r="B7" s="13"/>
      <c r="C7" s="42"/>
      <c r="D7" s="234"/>
      <c r="E7" s="4"/>
      <c r="F7" s="239" t="s">
        <v>29</v>
      </c>
      <c r="G7" s="17">
        <f>SUM(G4:G6)</f>
        <v>0</v>
      </c>
      <c r="H7" s="236">
        <f>SUMPRODUCT(G4:G6,H4:H6)</f>
        <v>0</v>
      </c>
      <c r="I7" s="4"/>
      <c r="J7" s="157" t="s">
        <v>51</v>
      </c>
      <c r="K7" s="157" t="s">
        <v>17</v>
      </c>
      <c r="L7" s="158" t="s">
        <v>41</v>
      </c>
      <c r="M7" s="157" t="s">
        <v>479</v>
      </c>
    </row>
    <row r="8" spans="2:13" ht="15" customHeight="1">
      <c r="B8" s="13"/>
      <c r="C8" s="42"/>
      <c r="D8" s="234"/>
      <c r="E8" s="4"/>
      <c r="F8" s="123"/>
      <c r="G8" s="123"/>
      <c r="H8" s="229"/>
      <c r="I8" s="4"/>
      <c r="J8" s="648">
        <f>D21+H7+H21+D35+H35</f>
        <v>0</v>
      </c>
      <c r="K8" s="153" t="e">
        <f>(Character!$H$19/2+IF(Character!$C$4="Trpaslík",Character!$H$19/2,IF(Character!C4="Troll",Character!$H$19,0)))*IF(Character!C4="Kentaur",2,IF(Character!C4="Pixie",1/2,1))+IF(TYPE(MATCH("Nosič",Character!D11:D15,0))&lt;&gt;16,Character!H19/2,0)</f>
        <v>#VALUE!</v>
      </c>
      <c r="L8" s="633" t="e">
        <f>IF($J$8&lt;=K8,"Žádná",IF($J$8&lt;=K9,"Mírná",IF($J$8&lt;=K10,"Střední",IF($J$8&lt;=K11,"Těžká",IF(J8&lt;=K12,"Extrémní","What the hell !!")))))</f>
        <v>#VALUE!</v>
      </c>
      <c r="M8" s="633" t="e">
        <f>IF($J$8&lt;=K8, "0%", IF($J$8&lt;=K9, "10%", IF($J$8&lt;=K10, "25%", IF($J$8&lt;=K11, "50%", IF(J8&gt;K12,"Zaráží se do země","Nehne se")))))</f>
        <v>#VALUE!</v>
      </c>
    </row>
    <row r="9" spans="2:13">
      <c r="B9" s="13"/>
      <c r="C9" s="42"/>
      <c r="D9" s="234"/>
      <c r="E9" s="4"/>
      <c r="F9" s="636" t="s">
        <v>445</v>
      </c>
      <c r="G9" s="637"/>
      <c r="H9" s="638"/>
      <c r="I9" s="4"/>
      <c r="J9" s="649"/>
      <c r="K9" s="153" t="e">
        <f>(Character!$H$19+IF(Character!$C$4="Trpaslík",Character!$H$19/2,IF(Character!C4="Troll",Character!$H$19,0)))*IF(Character!C4="Kentaur",2,IF(Character!C4="Pixie",1/2,1))+IF(TYPE(MATCH("Nosič",Character!D11:D15,0))&lt;&gt;16,Character!H19/2,0)</f>
        <v>#VALUE!</v>
      </c>
      <c r="L9" s="642"/>
      <c r="M9" s="634"/>
    </row>
    <row r="10" spans="2:13">
      <c r="B10" s="7"/>
      <c r="C10" s="42"/>
      <c r="D10" s="234"/>
      <c r="E10" s="4"/>
      <c r="F10" s="159" t="s">
        <v>16</v>
      </c>
      <c r="G10" s="159" t="s">
        <v>33</v>
      </c>
      <c r="H10" s="230" t="s">
        <v>35</v>
      </c>
      <c r="I10" s="4"/>
      <c r="J10" s="649"/>
      <c r="K10" s="153" t="e">
        <f>(2*Character!$H$19+IF(Character!$C$4="Trpaslík",Character!$H$19/2,IF(Character!C4="Troll",Character!$H$19,0)))*IF(Character!C4="Kentaur",2,IF(Character!C4="Pixie",1/2,1))+IF(TYPE(MATCH("Nosič",Character!D11:D15,0))&lt;&gt;16,Character!H19/2,0)</f>
        <v>#VALUE!</v>
      </c>
      <c r="L10" s="642"/>
      <c r="M10" s="634"/>
    </row>
    <row r="11" spans="2:13">
      <c r="B11" s="336"/>
      <c r="C11" s="42"/>
      <c r="D11" s="234"/>
      <c r="E11" s="4"/>
      <c r="F11" s="51"/>
      <c r="G11" s="120"/>
      <c r="H11" s="232"/>
      <c r="I11" s="4"/>
      <c r="J11" s="649"/>
      <c r="K11" s="153" t="e">
        <f>(4*Character!$H$19+IF(Character!$C$4="Trpaslík",Character!$H$19/2,IF(Character!C4="Troll",Character!$H$19,0)))*IF(Character!C4="Kentaur",2,IF(Character!C4="Pixie",1/2,1))+IF(TYPE(MATCH("Nosič",Character!D11:D15,0))&lt;&gt;16,Character!H19/2,0)</f>
        <v>#VALUE!</v>
      </c>
      <c r="L11" s="642"/>
      <c r="M11" s="634"/>
    </row>
    <row r="12" spans="2:13">
      <c r="B12" s="7"/>
      <c r="C12" s="42"/>
      <c r="D12" s="234"/>
      <c r="E12" s="4"/>
      <c r="F12" s="47"/>
      <c r="G12" s="42"/>
      <c r="H12" s="237"/>
      <c r="I12" s="4"/>
      <c r="J12" s="650"/>
      <c r="K12" s="150" t="e">
        <f>(6*Character!$H$19+IF(Character!$C$4="Trpaslík",Character!$H$19/2,IF(Character!C4="Troll",Character!$H$19,0)))*IF(Character!C4="Kentaur",2,IF(Character!C4="Pixie",1/2,1))+IF(TYPE(MATCH("Nosič",Character!D11:D15,0))&lt;&gt;16,Character!H19/2,0)</f>
        <v>#VALUE!</v>
      </c>
      <c r="L12" s="643"/>
      <c r="M12" s="635"/>
    </row>
    <row r="13" spans="2:13">
      <c r="B13" s="7"/>
      <c r="C13" s="42"/>
      <c r="D13" s="234"/>
      <c r="E13" s="4"/>
      <c r="F13" s="47"/>
      <c r="G13" s="42"/>
      <c r="H13" s="237"/>
      <c r="I13" s="4"/>
      <c r="L13" s="1"/>
    </row>
    <row r="14" spans="2:13">
      <c r="B14" s="7"/>
      <c r="C14" s="42"/>
      <c r="D14" s="234"/>
      <c r="E14" s="4"/>
      <c r="F14" s="47"/>
      <c r="G14" s="42"/>
      <c r="H14" s="237"/>
      <c r="I14" s="4"/>
      <c r="J14" s="636" t="s">
        <v>815</v>
      </c>
      <c r="K14" s="637"/>
      <c r="L14" s="638"/>
    </row>
    <row r="15" spans="2:13">
      <c r="B15" s="7"/>
      <c r="C15" s="42"/>
      <c r="D15" s="234"/>
      <c r="E15" s="4"/>
      <c r="F15" s="47"/>
      <c r="G15" s="42"/>
      <c r="H15" s="237"/>
      <c r="I15" s="4"/>
      <c r="J15" s="316" t="s">
        <v>16</v>
      </c>
      <c r="K15" s="316" t="s">
        <v>33</v>
      </c>
      <c r="L15" s="316" t="s">
        <v>35</v>
      </c>
    </row>
    <row r="16" spans="2:13">
      <c r="B16" s="7"/>
      <c r="C16" s="42"/>
      <c r="D16" s="234"/>
      <c r="E16" s="4"/>
      <c r="F16" s="47"/>
      <c r="G16" s="42"/>
      <c r="H16" s="237"/>
      <c r="I16" s="4"/>
      <c r="J16" s="11"/>
      <c r="K16" s="392"/>
      <c r="L16" s="232"/>
    </row>
    <row r="17" spans="2:12">
      <c r="B17" s="7"/>
      <c r="C17" s="42"/>
      <c r="D17" s="234"/>
      <c r="E17" s="4"/>
      <c r="F17" s="47"/>
      <c r="G17" s="42"/>
      <c r="H17" s="237"/>
      <c r="I17" s="4"/>
      <c r="J17" s="390"/>
      <c r="K17" s="393"/>
      <c r="L17" s="237"/>
    </row>
    <row r="18" spans="2:12">
      <c r="B18" s="7"/>
      <c r="C18" s="42"/>
      <c r="D18" s="234"/>
      <c r="E18" s="4"/>
      <c r="F18" s="47"/>
      <c r="G18" s="42"/>
      <c r="H18" s="237"/>
      <c r="I18" s="4"/>
      <c r="J18" s="390"/>
      <c r="K18" s="393"/>
      <c r="L18" s="237"/>
    </row>
    <row r="19" spans="2:12">
      <c r="B19" s="7"/>
      <c r="C19" s="42"/>
      <c r="D19" s="234"/>
      <c r="E19" s="4"/>
      <c r="F19" s="47"/>
      <c r="G19" s="42"/>
      <c r="H19" s="237"/>
      <c r="I19" s="4"/>
      <c r="J19" s="390"/>
      <c r="K19" s="393"/>
      <c r="L19" s="237"/>
    </row>
    <row r="20" spans="2:12">
      <c r="B20" s="7"/>
      <c r="C20" s="42"/>
      <c r="D20" s="234"/>
      <c r="E20" s="4"/>
      <c r="F20" s="48"/>
      <c r="G20" s="117"/>
      <c r="H20" s="238"/>
      <c r="I20" s="4"/>
      <c r="J20" s="390"/>
      <c r="K20" s="393"/>
      <c r="L20" s="237"/>
    </row>
    <row r="21" spans="2:12">
      <c r="B21" s="239" t="s">
        <v>29</v>
      </c>
      <c r="C21" s="17">
        <f>SUM(C4:C20)</f>
        <v>0</v>
      </c>
      <c r="D21" s="236">
        <f>SUMPRODUCT(C4:C20,D4:D20)</f>
        <v>0</v>
      </c>
      <c r="E21" s="4"/>
      <c r="F21" s="239" t="s">
        <v>29</v>
      </c>
      <c r="G21" s="17">
        <f>SUM(G11:G20)</f>
        <v>0</v>
      </c>
      <c r="H21" s="236">
        <f>SUMPRODUCT(G11:G20,H11:H20)</f>
        <v>0</v>
      </c>
      <c r="I21" s="4"/>
      <c r="J21" s="390"/>
      <c r="K21" s="393"/>
      <c r="L21" s="237"/>
    </row>
    <row r="22" spans="2:12">
      <c r="B22" s="123"/>
      <c r="C22" s="123"/>
      <c r="D22" s="229"/>
      <c r="E22" s="4"/>
      <c r="F22" s="4"/>
      <c r="G22" s="4"/>
      <c r="H22" s="231"/>
      <c r="I22" s="4"/>
      <c r="J22" s="390"/>
      <c r="K22" s="393"/>
      <c r="L22" s="237"/>
    </row>
    <row r="23" spans="2:12">
      <c r="B23" s="636" t="s">
        <v>445</v>
      </c>
      <c r="C23" s="637"/>
      <c r="D23" s="638"/>
      <c r="E23" s="4"/>
      <c r="F23" s="636" t="s">
        <v>445</v>
      </c>
      <c r="G23" s="637"/>
      <c r="H23" s="638"/>
      <c r="I23" s="4"/>
      <c r="J23" s="390"/>
      <c r="K23" s="393"/>
      <c r="L23" s="237"/>
    </row>
    <row r="24" spans="2:12">
      <c r="B24" s="159" t="s">
        <v>16</v>
      </c>
      <c r="C24" s="159" t="s">
        <v>33</v>
      </c>
      <c r="D24" s="230" t="s">
        <v>35</v>
      </c>
      <c r="E24" s="4"/>
      <c r="F24" s="159" t="s">
        <v>16</v>
      </c>
      <c r="G24" s="159" t="s">
        <v>33</v>
      </c>
      <c r="H24" s="230" t="s">
        <v>35</v>
      </c>
      <c r="I24" s="4"/>
      <c r="J24" s="390"/>
      <c r="K24" s="393"/>
      <c r="L24" s="237"/>
    </row>
    <row r="25" spans="2:12">
      <c r="B25" s="51"/>
      <c r="C25" s="120"/>
      <c r="D25" s="232"/>
      <c r="E25" s="4"/>
      <c r="F25" s="51"/>
      <c r="G25" s="120"/>
      <c r="H25" s="232"/>
      <c r="I25" s="4"/>
      <c r="J25" s="390"/>
      <c r="K25" s="393"/>
      <c r="L25" s="237"/>
    </row>
    <row r="26" spans="2:12">
      <c r="B26" s="47"/>
      <c r="C26" s="42"/>
      <c r="D26" s="237"/>
      <c r="E26" s="4"/>
      <c r="F26" s="47"/>
      <c r="G26" s="42"/>
      <c r="H26" s="237"/>
      <c r="I26" s="4"/>
      <c r="J26" s="390"/>
      <c r="K26" s="393"/>
      <c r="L26" s="237"/>
    </row>
    <row r="27" spans="2:12">
      <c r="B27" s="47"/>
      <c r="C27" s="42"/>
      <c r="D27" s="237"/>
      <c r="E27" s="4"/>
      <c r="F27" s="47"/>
      <c r="G27" s="42"/>
      <c r="H27" s="237"/>
      <c r="I27" s="4"/>
      <c r="J27" s="390"/>
      <c r="K27" s="393"/>
      <c r="L27" s="237"/>
    </row>
    <row r="28" spans="2:12">
      <c r="B28" s="47"/>
      <c r="C28" s="42"/>
      <c r="D28" s="237"/>
      <c r="E28" s="4"/>
      <c r="F28" s="47"/>
      <c r="G28" s="42"/>
      <c r="H28" s="237"/>
      <c r="I28" s="4"/>
      <c r="J28" s="390"/>
      <c r="K28" s="393"/>
      <c r="L28" s="237"/>
    </row>
    <row r="29" spans="2:12">
      <c r="B29" s="47"/>
      <c r="C29" s="42"/>
      <c r="D29" s="237"/>
      <c r="E29" s="4"/>
      <c r="F29" s="47"/>
      <c r="G29" s="42"/>
      <c r="H29" s="237"/>
      <c r="I29" s="4"/>
      <c r="J29" s="390"/>
      <c r="K29" s="393"/>
      <c r="L29" s="237"/>
    </row>
    <row r="30" spans="2:12">
      <c r="B30" s="47"/>
      <c r="C30" s="42"/>
      <c r="D30" s="237"/>
      <c r="E30" s="4"/>
      <c r="F30" s="47"/>
      <c r="G30" s="42"/>
      <c r="H30" s="237"/>
      <c r="I30" s="4"/>
      <c r="J30" s="390"/>
      <c r="K30" s="393"/>
      <c r="L30" s="237"/>
    </row>
    <row r="31" spans="2:12">
      <c r="B31" s="47"/>
      <c r="C31" s="42"/>
      <c r="D31" s="237"/>
      <c r="E31" s="4"/>
      <c r="F31" s="47"/>
      <c r="G31" s="42"/>
      <c r="H31" s="237"/>
      <c r="I31" s="4"/>
      <c r="J31" s="390"/>
      <c r="K31" s="393"/>
      <c r="L31" s="237"/>
    </row>
    <row r="32" spans="2:12">
      <c r="B32" s="47"/>
      <c r="C32" s="42"/>
      <c r="D32" s="237"/>
      <c r="E32" s="4"/>
      <c r="F32" s="47"/>
      <c r="G32" s="42"/>
      <c r="H32" s="237"/>
      <c r="I32" s="4"/>
      <c r="J32" s="390"/>
      <c r="K32" s="393"/>
      <c r="L32" s="237"/>
    </row>
    <row r="33" spans="2:12">
      <c r="B33" s="47"/>
      <c r="C33" s="42"/>
      <c r="D33" s="237"/>
      <c r="E33" s="4"/>
      <c r="F33" s="47"/>
      <c r="G33" s="42"/>
      <c r="H33" s="237"/>
      <c r="I33" s="4"/>
      <c r="J33" s="390"/>
      <c r="K33" s="393"/>
      <c r="L33" s="237"/>
    </row>
    <row r="34" spans="2:12">
      <c r="B34" s="48"/>
      <c r="C34" s="117"/>
      <c r="D34" s="238"/>
      <c r="E34" s="4"/>
      <c r="F34" s="48"/>
      <c r="G34" s="117"/>
      <c r="H34" s="238"/>
      <c r="I34" s="4"/>
      <c r="J34" s="390"/>
      <c r="K34" s="393"/>
      <c r="L34" s="237"/>
    </row>
    <row r="35" spans="2:12">
      <c r="B35" s="239" t="s">
        <v>29</v>
      </c>
      <c r="C35" s="17">
        <f>SUM(C25:C34)</f>
        <v>0</v>
      </c>
      <c r="D35" s="236">
        <f>SUMPRODUCT(C25:C34,D25:D34)</f>
        <v>0</v>
      </c>
      <c r="E35" s="4"/>
      <c r="F35" s="239" t="s">
        <v>29</v>
      </c>
      <c r="G35" s="17">
        <f>SUM(G25:G34)</f>
        <v>0</v>
      </c>
      <c r="H35" s="236">
        <f>SUMPRODUCT(G25:G34,H25:H34)</f>
        <v>0</v>
      </c>
      <c r="I35" s="4"/>
      <c r="J35" s="239" t="s">
        <v>29</v>
      </c>
      <c r="K35" s="389">
        <f>SUM(K16:K34)</f>
        <v>0</v>
      </c>
      <c r="L35" s="236">
        <f>SUMPRODUCT(K16:K34,L16:L34)</f>
        <v>0</v>
      </c>
    </row>
    <row r="36" spans="2:12">
      <c r="E36" s="4"/>
      <c r="I36" s="4"/>
    </row>
    <row r="37" spans="2:12">
      <c r="E37" s="4"/>
      <c r="I37" s="4"/>
    </row>
    <row r="38" spans="2:12">
      <c r="E38" s="4"/>
      <c r="I38" s="4"/>
    </row>
    <row r="39" spans="2:12">
      <c r="E39" s="4"/>
      <c r="I39" s="4"/>
    </row>
    <row r="40" spans="2:12">
      <c r="E40" s="4"/>
      <c r="I40" s="4"/>
    </row>
    <row r="41" spans="2:12">
      <c r="E41" s="4"/>
      <c r="I41" s="4"/>
    </row>
    <row r="42" spans="2:12">
      <c r="E42" s="4"/>
      <c r="I42" s="4"/>
    </row>
    <row r="43" spans="2:12">
      <c r="B43" s="23"/>
      <c r="C43" s="23"/>
      <c r="D43" s="228"/>
      <c r="E43" s="4"/>
      <c r="F43" s="4"/>
      <c r="G43" s="4"/>
      <c r="H43" s="4"/>
      <c r="I43" s="4"/>
    </row>
    <row r="44" spans="2:12">
      <c r="B44" s="23"/>
      <c r="C44" s="23"/>
      <c r="D44" s="228"/>
      <c r="E44" s="4"/>
      <c r="F44" s="4"/>
      <c r="G44" s="4"/>
      <c r="H44" s="4"/>
      <c r="I44" s="4"/>
    </row>
    <row r="45" spans="2:12">
      <c r="B45" s="23"/>
      <c r="C45" s="23"/>
      <c r="D45" s="228"/>
    </row>
    <row r="46" spans="2:12">
      <c r="B46" s="23"/>
      <c r="C46" s="23"/>
      <c r="D46" s="228"/>
    </row>
    <row r="47" spans="2:12">
      <c r="B47" s="140"/>
      <c r="C47" s="23"/>
      <c r="D47" s="228"/>
    </row>
    <row r="48" spans="2:12">
      <c r="B48" s="23"/>
      <c r="C48" s="23"/>
      <c r="D48" s="23"/>
    </row>
    <row r="49" spans="2:4">
      <c r="B49" s="23"/>
      <c r="C49" s="23"/>
      <c r="D49" s="23"/>
    </row>
    <row r="50" spans="2:4">
      <c r="B50" s="23"/>
      <c r="C50" s="23"/>
      <c r="D50" s="23"/>
    </row>
    <row r="51" spans="2:4">
      <c r="B51" s="23"/>
      <c r="C51" s="23"/>
      <c r="D51" s="23"/>
    </row>
    <row r="52" spans="2:4">
      <c r="B52" s="23"/>
      <c r="C52" s="23"/>
      <c r="D52" s="23"/>
    </row>
    <row r="53" spans="2:4">
      <c r="B53" s="23"/>
      <c r="C53" s="23"/>
      <c r="D53" s="23"/>
    </row>
    <row r="54" spans="2:4">
      <c r="B54" s="23"/>
      <c r="C54" s="23"/>
      <c r="D54" s="23"/>
    </row>
    <row r="55" spans="2:4">
      <c r="B55" s="23"/>
      <c r="C55" s="23"/>
      <c r="D55" s="23"/>
    </row>
  </sheetData>
  <mergeCells count="11">
    <mergeCell ref="M8:M12"/>
    <mergeCell ref="F9:H9"/>
    <mergeCell ref="F23:H23"/>
    <mergeCell ref="B23:D23"/>
    <mergeCell ref="B2:D2"/>
    <mergeCell ref="L8:L12"/>
    <mergeCell ref="L3:L5"/>
    <mergeCell ref="J2:L2"/>
    <mergeCell ref="J8:J12"/>
    <mergeCell ref="F2:H2"/>
    <mergeCell ref="J14:L14"/>
  </mergeCells>
  <conditionalFormatting sqref="L8:M8">
    <cfRule type="expression" dxfId="23" priority="1">
      <formula>$J$8&gt;$K$12</formula>
    </cfRule>
    <cfRule type="expression" dxfId="22" priority="67">
      <formula>$J$8&gt;$K$11</formula>
    </cfRule>
    <cfRule type="expression" dxfId="21" priority="68">
      <formula>AND($J$8&gt;$K$10, $J$8&lt;=$K$11)</formula>
    </cfRule>
    <cfRule type="expression" dxfId="20" priority="69">
      <formula>AND($J$8&gt;$K$9, $J$8&lt;=$K$10)</formula>
    </cfRule>
    <cfRule type="expression" dxfId="19" priority="70">
      <formula>AND($J$8&gt;$K$8, $J$8&lt;=$K$9)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0FF7FD"/>
  </sheetPr>
  <dimension ref="A1:AD25"/>
  <sheetViews>
    <sheetView workbookViewId="0"/>
  </sheetViews>
  <sheetFormatPr defaultRowHeight="15"/>
  <cols>
    <col min="2" max="2" width="24.28515625" customWidth="1"/>
    <col min="3" max="3" width="25.7109375" customWidth="1"/>
    <col min="4" max="4" width="11.28515625" customWidth="1"/>
    <col min="5" max="5" width="10.5703125" customWidth="1"/>
    <col min="6" max="6" width="10.5703125" style="4" customWidth="1"/>
    <col min="10" max="10" width="9.140625" customWidth="1"/>
    <col min="11" max="11" width="10.7109375" customWidth="1"/>
    <col min="12" max="12" width="10.7109375" style="4" customWidth="1"/>
    <col min="17" max="17" width="9.7109375" customWidth="1"/>
    <col min="18" max="18" width="10.42578125" customWidth="1"/>
    <col min="20" max="21" width="9.140625" customWidth="1"/>
    <col min="23" max="23" width="9.140625" customWidth="1"/>
    <col min="25" max="25" width="9.140625" customWidth="1"/>
    <col min="27" max="27" width="10.7109375" hidden="1" customWidth="1"/>
    <col min="28" max="30" width="9.140625" hidden="1" customWidth="1"/>
    <col min="31" max="32" width="9.140625" customWidth="1"/>
  </cols>
  <sheetData>
    <row r="1" spans="1:30">
      <c r="AA1" s="23" t="s">
        <v>277</v>
      </c>
      <c r="AB1" s="4" t="e">
        <f ca="1">"chybí "&amp;IF(AB13=0,"",AB13&amp;" síly")&amp;IF(AND(AB13&lt;&gt;0,AC13&lt;&gt;0), " a ", "")&amp;IF(AC13=0,"",AC13&amp;" obratnosti")&amp;" pro zbraň v pravé ruce"</f>
        <v>#VALUE!</v>
      </c>
      <c r="AD1" s="4"/>
    </row>
    <row r="2" spans="1:30">
      <c r="B2" s="654" t="s">
        <v>53</v>
      </c>
      <c r="C2" s="655"/>
      <c r="D2" s="655"/>
      <c r="E2" s="655"/>
      <c r="F2" s="655"/>
      <c r="G2" s="655"/>
      <c r="H2" s="656"/>
      <c r="J2" s="654" t="s">
        <v>30</v>
      </c>
      <c r="K2" s="655"/>
      <c r="L2" s="656"/>
      <c r="M2" s="4"/>
      <c r="P2" s="4"/>
      <c r="U2" s="4"/>
      <c r="W2" s="4"/>
      <c r="AA2" s="23" t="s">
        <v>278</v>
      </c>
      <c r="AB2" s="4" t="e">
        <f ca="1">"chybí "&amp;IF(AB14=0,"",AB14&amp;" síly")&amp;IF(AND(AB14&lt;&gt;0,AC14&lt;&gt;0), " a ", "")&amp;IF(AC14=0,"",AC14&amp;" obratnosti")&amp;" pro zbraň v levé ruce"</f>
        <v>#VALUE!</v>
      </c>
      <c r="AD2" s="4" t="s">
        <v>297</v>
      </c>
    </row>
    <row r="3" spans="1:30" s="4" customFormat="1">
      <c r="B3" s="321" t="s">
        <v>878</v>
      </c>
      <c r="C3" s="461" t="s">
        <v>286</v>
      </c>
      <c r="D3" s="396"/>
      <c r="E3" s="396"/>
      <c r="F3" s="396"/>
      <c r="G3" s="397"/>
      <c r="H3" s="393" t="s">
        <v>817</v>
      </c>
      <c r="J3" s="478" t="s">
        <v>58</v>
      </c>
      <c r="K3" s="612" t="s">
        <v>239</v>
      </c>
      <c r="L3" s="662"/>
      <c r="AA3" s="23">
        <f ca="1">IF(C6="",1,IF(LEFT(C6,2)="--",INDIRECT("O"&amp;MATCH(RIGHT($C6,LEN($C6)-2),$B$18:$B$20, 0)+17),IF(OR(TYPE(FIND("Střelné zbraně",Combat!D4))&lt;&gt;16,TYPE(FIND("Vrhací zbraně",Combat!D4))&lt;&gt;16),0,IF(TYPE(FIND("Boxery",Combat!D4))=16,INDIRECT("Weapons!$O$"&amp;MATCH(C6,Weapons!$C$3:$C$113,0)+2),INDIRECT("Weapons!$I$"&amp;MATCH(C6,Weapons!$C$3:$C$113,0)+2)))))</f>
        <v>1</v>
      </c>
      <c r="AB3" s="4">
        <v>1</v>
      </c>
      <c r="AD3" s="4" t="s">
        <v>315</v>
      </c>
    </row>
    <row r="4" spans="1:30">
      <c r="B4" s="651" t="s">
        <v>32</v>
      </c>
      <c r="C4" s="652"/>
      <c r="D4" s="652"/>
      <c r="E4" s="652"/>
      <c r="F4" s="652"/>
      <c r="G4" s="652"/>
      <c r="H4" s="653"/>
      <c r="J4" s="391" t="s">
        <v>817</v>
      </c>
      <c r="K4" s="660">
        <v>0</v>
      </c>
      <c r="L4" s="661"/>
      <c r="N4" s="4"/>
      <c r="Q4" s="4"/>
      <c r="R4" s="4"/>
      <c r="S4" s="4"/>
      <c r="T4" s="4"/>
      <c r="U4" s="4"/>
      <c r="X4" s="4"/>
      <c r="Y4" s="4"/>
      <c r="Z4" s="4"/>
      <c r="AA4" s="23">
        <f ca="1">IF(C7="",1,IF(LEFT(C7,2)="--",INDIRECT("O"&amp;MATCH(RIGHT($C7,LEN($C7)-2),$B$18:$B$20, 0)+17),IF(OR(TYPE(FIND("Střelné zbraně",Combat!D5))&lt;&gt;16,TYPE(FIND("Vrhací zbraně",Combat!D5))&lt;&gt;16),0,IF(TYPE(FIND("Boxery",Combat!D5))=16,INDIRECT("Weapons!$O$"&amp;MATCH(C7,Weapons!$C$3:$C$113,0)+2),INDIRECT("Weapons!$I$"&amp;MATCH(C7,Weapons!$C$3:$C$113,0)+2)))))</f>
        <v>1</v>
      </c>
      <c r="AB4">
        <v>2</v>
      </c>
      <c r="AD4" s="4" t="s">
        <v>322</v>
      </c>
    </row>
    <row r="5" spans="1:30">
      <c r="B5" s="11" t="s">
        <v>58</v>
      </c>
      <c r="C5" s="51" t="s">
        <v>239</v>
      </c>
      <c r="D5" s="53"/>
      <c r="E5" s="657" t="str">
        <f ca="1">IF(TYPE(AA3)=2,"Korekce délky ("&amp;AA3&amp;"):", "")</f>
        <v/>
      </c>
      <c r="F5" s="657"/>
      <c r="G5" s="420">
        <v>3</v>
      </c>
      <c r="H5" s="419">
        <v>0</v>
      </c>
      <c r="M5" s="4"/>
      <c r="N5" s="4"/>
      <c r="P5" s="4"/>
      <c r="W5" s="23"/>
      <c r="X5" s="23"/>
      <c r="Y5" s="23"/>
      <c r="AA5" s="4" t="s">
        <v>286</v>
      </c>
      <c r="AB5" s="480" t="s">
        <v>122</v>
      </c>
      <c r="AD5" s="4" t="s">
        <v>321</v>
      </c>
    </row>
    <row r="6" spans="1:30">
      <c r="B6" s="411" t="s">
        <v>52</v>
      </c>
      <c r="C6" s="47"/>
      <c r="D6" s="23" t="str">
        <f ca="1">IF($C6&lt;&gt;"",IF(LEFT(C6,2)="--",INDIRECT("D"&amp;MATCH(RIGHT($C6,LEN($C6)-2),$B$18:$B$20, 0)+17)&amp;"H",INDIRECT("Weapons!$D$"&amp;MATCH($C6,Weapons!$C$3:$C$113, 0)+2)&amp;"H"),"")</f>
        <v/>
      </c>
      <c r="E6" s="658" t="str">
        <f ca="1">IF(D6="1/2H", "Upřesnění:", IF($C6&lt;&gt;"",IF(OR(Combat!$D$4="Střelné zbraně - luky",Combat!$D$4="Střelné zbraně - kuše"),"Munice:", ""), ""))</f>
        <v/>
      </c>
      <c r="F6" s="658"/>
      <c r="G6" s="395" t="s">
        <v>277</v>
      </c>
      <c r="H6" s="414">
        <v>0</v>
      </c>
      <c r="J6" s="654" t="s">
        <v>67</v>
      </c>
      <c r="K6" s="655"/>
      <c r="L6" s="656"/>
      <c r="M6" s="4"/>
      <c r="AA6" s="4" t="s">
        <v>287</v>
      </c>
      <c r="AD6" s="4" t="s">
        <v>320</v>
      </c>
    </row>
    <row r="7" spans="1:30">
      <c r="B7" s="412" t="s">
        <v>61</v>
      </c>
      <c r="C7" s="48"/>
      <c r="D7" s="49" t="str">
        <f ca="1">IF(OR(OR($D$10="2H",AND($D$10="1/2H", OR($G$10=2,$G$10="2H"))),$D6&lt;&gt;""), "na předloktí","")</f>
        <v/>
      </c>
      <c r="E7" s="659" t="s">
        <v>39</v>
      </c>
      <c r="F7" s="659"/>
      <c r="G7" s="50"/>
      <c r="H7" s="413">
        <v>0</v>
      </c>
      <c r="J7" s="478" t="s">
        <v>58</v>
      </c>
      <c r="K7" s="612" t="s">
        <v>239</v>
      </c>
      <c r="L7" s="662"/>
      <c r="AA7" t="b">
        <f ca="1">AND(IF(AND($C$7&lt;&gt;"", $D$7&lt;&gt;""), NOT(INDIRECT("Shields!$C$"&amp;MATCH($C$7,Shields!$B$3:$B$20,0)+2)&gt;Stats!K10),TRUE),IF(AND($C$11&lt;&gt;"", $D$11&lt;&gt;""), NOT(INDIRECT("Shields!$C$"&amp;MATCH($C$11,Shields!$B$3:$B$20,0)+2)&gt;Stats!K10),TRUE))</f>
        <v>1</v>
      </c>
      <c r="AD7" s="4" t="s">
        <v>319</v>
      </c>
    </row>
    <row r="8" spans="1:30">
      <c r="A8" s="23"/>
      <c r="B8" s="651" t="s">
        <v>31</v>
      </c>
      <c r="C8" s="652"/>
      <c r="D8" s="652"/>
      <c r="E8" s="652"/>
      <c r="F8" s="652"/>
      <c r="G8" s="652"/>
      <c r="H8" s="653"/>
      <c r="J8" s="145" t="s">
        <v>817</v>
      </c>
      <c r="K8" s="660">
        <v>0</v>
      </c>
      <c r="L8" s="661"/>
      <c r="Z8" s="4"/>
      <c r="AA8" s="4" t="b">
        <f ca="1">IF(OR(AND(OR($D$6="2H",AND($D$6="1/2H",OR($G$6=2,$G$6="2H"))),$D$10&lt;&gt;""),AND(OR($D$10="2H",AND($D$10="1/2H",OR($G$10=2,$G$10="2H"))),$D$6&lt;&gt;"")),FALSE,TRUE)</f>
        <v>1</v>
      </c>
      <c r="AD8" s="4" t="s">
        <v>318</v>
      </c>
    </row>
    <row r="9" spans="1:30">
      <c r="B9" s="11" t="s">
        <v>58</v>
      </c>
      <c r="C9" s="51" t="s">
        <v>239</v>
      </c>
      <c r="D9" s="53"/>
      <c r="E9" s="657" t="str">
        <f ca="1">IF(TYPE(AA4)=2,"Korekce délky ("&amp;AA4&amp;"):", "")</f>
        <v/>
      </c>
      <c r="F9" s="657"/>
      <c r="G9" s="420">
        <v>5</v>
      </c>
      <c r="H9" s="415">
        <v>0</v>
      </c>
      <c r="J9" s="4"/>
      <c r="K9" s="4"/>
      <c r="AA9" t="b">
        <f ca="1">IF(AND(IF(AND($C$11&lt;&gt;"", $D$11&lt;&gt;""), IF(INDIRECT("Shields!$C$"&amp;(MATCH($C$11,Shields!B3:B20,0)+2)) &gt; 3,FALSE,TRUE),TRUE),IF(AND($C$7&lt;&gt;"", $D$7&lt;&gt;""), IF(INDIRECT("Shields!$C$"&amp;(MATCH($C$7,Shields!B3:B20,0)+2)) &gt; 3,FALSE,TRUE),TRUE)), TRUE, FALSE)</f>
        <v>1</v>
      </c>
      <c r="AD9" s="4" t="s">
        <v>317</v>
      </c>
    </row>
    <row r="10" spans="1:30">
      <c r="B10" s="411" t="s">
        <v>52</v>
      </c>
      <c r="C10" s="47"/>
      <c r="D10" s="23" t="str">
        <f ca="1">IF($C10&lt;&gt;"",IF(LEFT(C10,2)="--",INDIRECT("D"&amp;MATCH(RIGHT($C10,LEN($C10)-2),$B$18:$B$20, 0)+17)&amp;"H",INDIRECT("Weapons!$D$"&amp;MATCH($C10,Weapons!$C$3:$C$113, 0)+2)&amp;"H"),"")</f>
        <v/>
      </c>
      <c r="E10" s="658" t="str">
        <f ca="1">IF(D10="1/2H", "Upřesnění:", IF($C10&lt;&gt;"",IF(OR(Combat!$D$5="Střelné zbraně - luky",Combat!$D$5="Střelné zbraně - kuše"), "Munice:", ""), ""))</f>
        <v/>
      </c>
      <c r="F10" s="658"/>
      <c r="G10" s="395" t="s">
        <v>277</v>
      </c>
      <c r="H10" s="416">
        <v>0</v>
      </c>
      <c r="J10" s="654" t="s">
        <v>280</v>
      </c>
      <c r="K10" s="655"/>
      <c r="L10" s="656"/>
      <c r="AA10" s="109" t="b">
        <f ca="1">IF(AND(IF(E6="Munice:",IF(OR(AND(Combat!D4="Střelné zbraně - luky",INDIRECT("Ammo!$B$"&amp;MATCH(E7,Ammo!C3:C20,0)+2)="Šípy"),AND(C6&lt;&gt;"Kuličková kuše",Combat!D4="Střelné zbraně - kuše",INDIRECT("Ammo!$B$"&amp;MATCH(E7,Ammo!C3:C20,0)+2)="Šipky")),TRUE,IF(AND(C6="Kuličková kuše",INDIRECT("Ammo!$B$"&amp;MATCH(E7,Ammo!C3:C20,0)+2)="Kuličky"),TRUE,FALSE)),TRUE),IF(E10="Munice:",IF(OR(AND(Combat!D5="Střelné zbraně - luky",INDIRECT("Ammo!$B$"&amp;MATCH(E11,Ammo!C3:C20,0)+2)="Šípy"),AND(C10&lt;&gt;"Kuličková kuše",Combat!D5="Střelné zbraně - kuše",INDIRECT("Ammo!$B$"&amp;MATCH(E11,Ammo!C3:C20,0)+2)="Šipky")),TRUE,IF(AND(C10="Kuličková kuše",INDIRECT("Ammo!$B$"&amp;MATCH(E11,Ammo!C3:C20,0)+2)="Kuličky"),TRUE,FALSE)),TRUE)),TRUE,FALSE)</f>
        <v>1</v>
      </c>
      <c r="AD10" s="4" t="s">
        <v>316</v>
      </c>
    </row>
    <row r="11" spans="1:30">
      <c r="B11" s="412" t="s">
        <v>61</v>
      </c>
      <c r="C11" s="48"/>
      <c r="D11" s="49" t="str">
        <f ca="1">IF(OR(OR($D$6="2H",AND($D$6="1/2H", OR($G$6=2,$G$6="2H"))),$D10&lt;&gt;""), "na předloktí","")</f>
        <v/>
      </c>
      <c r="E11" s="659" t="s">
        <v>39</v>
      </c>
      <c r="F11" s="659"/>
      <c r="G11" s="421"/>
      <c r="H11" s="417">
        <v>0</v>
      </c>
      <c r="J11" s="478" t="s">
        <v>58</v>
      </c>
      <c r="K11" s="612" t="s">
        <v>239</v>
      </c>
      <c r="L11" s="662"/>
      <c r="AA11" t="b">
        <f>IF(AND(C7&lt;&gt;"",C11&lt;&gt;""),FALSE,TRUE)</f>
        <v>1</v>
      </c>
      <c r="AD11" s="4" t="s">
        <v>323</v>
      </c>
    </row>
    <row r="12" spans="1:30">
      <c r="B12" s="422" t="s">
        <v>276</v>
      </c>
      <c r="C12" s="608" t="e">
        <f ca="1">IF(AA8,IF(AA7,IF(AA9,IF(AA10,IF(AA11,IF(AA12,IF(AA13, IF(AA14,IF(AA15,IF(AA16,IF(AA17,IF(AA18,IF(AA19,IF(AA20,"OK","Armor na nohou nelze použít, chybí "&amp;AB20&amp;" síly"),"Armor na trupu nelze použít, chybí "&amp;AB19&amp;" síly"),"Armor na hlavě nelze použít, chybí "&amp;AB18&amp;" síly"),"Armor na levé ruce nelze použít, chybí "&amp;AB17&amp;" síly"),"Armor na pravé ruce nelze použít, chybí "&amp;AB16&amp;" síly"),"Štít nelze použít, chybí "&amp;AB15&amp;" síly"),"Nelze použít, "&amp;AB2),"Nelze použít, "&amp;AB1), "Součet délky obou zbraní je větší než 8"),"Nelze mít 2 štíty"),"Špatný typ munice"),"Štít na předloktí má kategorii &gt; 3"),"Kategorie štítu na předloktí &gt; skill třídy zbroje štítů"),"Nevalidní kombinace zbraní")</f>
        <v>#VALUE!</v>
      </c>
      <c r="D12" s="608"/>
      <c r="E12" s="608"/>
      <c r="F12" s="608"/>
      <c r="G12" s="608"/>
      <c r="H12" s="552"/>
      <c r="J12" s="145" t="s">
        <v>817</v>
      </c>
      <c r="K12" s="660">
        <v>0</v>
      </c>
      <c r="L12" s="661"/>
      <c r="Y12" s="112"/>
      <c r="AA12" t="b">
        <f>IF(AND(C6&lt;&gt;"",C10&lt;&gt;""),IF(IF(TYPE(AA3)=2,G5,AA3)+IF(TYPE(AA4)=2,G9,AA4)&gt;8,FALSE,TRUE),TRUE)</f>
        <v>1</v>
      </c>
      <c r="AD12" s="4" t="s">
        <v>324</v>
      </c>
    </row>
    <row r="13" spans="1:30">
      <c r="B13" s="141"/>
      <c r="C13" s="418"/>
      <c r="D13" s="418"/>
      <c r="E13" s="418"/>
      <c r="F13" s="418"/>
      <c r="G13" s="418"/>
      <c r="J13" s="80" t="s">
        <v>818</v>
      </c>
      <c r="AA13" s="4" t="e">
        <f ca="1">Combat!AF8+Combat!AF9&gt;=-10</f>
        <v>#VALUE!</v>
      </c>
      <c r="AB13" t="e">
        <f ca="1">-Combat!AF8/2</f>
        <v>#VALUE!</v>
      </c>
      <c r="AC13" s="4" t="e">
        <f ca="1">-Combat!AF9/2</f>
        <v>#VALUE!</v>
      </c>
      <c r="AD13" s="4" t="s">
        <v>325</v>
      </c>
    </row>
    <row r="14" spans="1:30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AA14" s="4" t="e">
        <f ca="1">Combat!AF10+Combat!AF11&gt;=-10</f>
        <v>#VALUE!</v>
      </c>
      <c r="AB14" t="e">
        <f ca="1">-Combat!AF10/2</f>
        <v>#VALUE!</v>
      </c>
      <c r="AC14" t="e">
        <f ca="1">-Combat!AF11/2</f>
        <v>#VALUE!</v>
      </c>
      <c r="AD14" s="4" t="s">
        <v>326</v>
      </c>
    </row>
    <row r="15" spans="1:30">
      <c r="A15" s="80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AA15" t="e">
        <f ca="1">Combat!AF12&gt;=-10</f>
        <v>#VALUE!</v>
      </c>
      <c r="AB15" t="e">
        <f ca="1">-Combat!AF12/2</f>
        <v>#VALUE!</v>
      </c>
      <c r="AD15" s="4" t="s">
        <v>327</v>
      </c>
    </row>
    <row r="16" spans="1:30" s="4" customFormat="1" ht="15" customHeight="1">
      <c r="A16" s="80"/>
      <c r="B16" s="486"/>
      <c r="C16" s="486"/>
      <c r="D16" s="48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AA16" s="53" t="e">
        <f ca="1">Combat!AG7&gt;=-10</f>
        <v>#VALUE!</v>
      </c>
      <c r="AB16" s="53" t="e">
        <f ca="1">-Combat!AG7/2</f>
        <v>#VALUE!</v>
      </c>
      <c r="AC16"/>
      <c r="AD16" s="4" t="s">
        <v>328</v>
      </c>
    </row>
    <row r="17" spans="1:30" ht="15" customHeight="1">
      <c r="A17" s="80"/>
      <c r="B17" s="486"/>
      <c r="C17" s="486"/>
      <c r="D17" s="48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AA17" s="23" t="e">
        <f ca="1">Combat!AG8&gt;=-10</f>
        <v>#VALUE!</v>
      </c>
      <c r="AB17" s="4" t="e">
        <f ca="1">-Combat!AG8/2</f>
        <v>#VALUE!</v>
      </c>
      <c r="AD17" s="4" t="s">
        <v>329</v>
      </c>
    </row>
    <row r="18" spans="1:30">
      <c r="A18" s="80"/>
      <c r="B18" s="81"/>
      <c r="C18" s="483"/>
      <c r="D18" s="48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AA18" s="23" t="e">
        <f ca="1">Combat!AG9&gt;=-10</f>
        <v>#VALUE!</v>
      </c>
      <c r="AB18" s="4" t="e">
        <f ca="1">-Combat!AG9/2</f>
        <v>#VALUE!</v>
      </c>
      <c r="AD18" s="4" t="s">
        <v>330</v>
      </c>
    </row>
    <row r="19" spans="1:30">
      <c r="A19" s="80"/>
      <c r="B19" s="80"/>
      <c r="C19" s="80"/>
      <c r="D19" s="485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AA19" s="23" t="e">
        <f ca="1">Combat!AG10&gt;=-10</f>
        <v>#VALUE!</v>
      </c>
      <c r="AB19" s="4" t="e">
        <f ca="1">-Combat!AG10/2</f>
        <v>#VALUE!</v>
      </c>
      <c r="AD19" s="4" t="s">
        <v>331</v>
      </c>
    </row>
    <row r="20" spans="1:30">
      <c r="A20" s="80"/>
      <c r="B20" s="80"/>
      <c r="C20" s="80"/>
      <c r="D20" s="485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AA20" s="23" t="e">
        <f ca="1">Combat!AG11&gt;=-10</f>
        <v>#VALUE!</v>
      </c>
      <c r="AB20" s="4" t="e">
        <f ca="1">-Combat!AG11/2</f>
        <v>#VALUE!</v>
      </c>
      <c r="AD20" s="4" t="s">
        <v>332</v>
      </c>
    </row>
    <row r="21" spans="1:30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AD21" s="4" t="s">
        <v>299</v>
      </c>
    </row>
    <row r="22" spans="1:30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30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</row>
    <row r="24" spans="1:30">
      <c r="B24" s="4"/>
    </row>
    <row r="25" spans="1:30">
      <c r="D25" s="4"/>
    </row>
  </sheetData>
  <mergeCells count="19">
    <mergeCell ref="K8:L8"/>
    <mergeCell ref="K11:L11"/>
    <mergeCell ref="K12:L12"/>
    <mergeCell ref="J2:L2"/>
    <mergeCell ref="J6:L6"/>
    <mergeCell ref="J10:L10"/>
    <mergeCell ref="K3:L3"/>
    <mergeCell ref="K4:L4"/>
    <mergeCell ref="K7:L7"/>
    <mergeCell ref="C12:H12"/>
    <mergeCell ref="B8:H8"/>
    <mergeCell ref="B4:H4"/>
    <mergeCell ref="B2:H2"/>
    <mergeCell ref="E5:F5"/>
    <mergeCell ref="E6:F6"/>
    <mergeCell ref="E7:F7"/>
    <mergeCell ref="E9:F9"/>
    <mergeCell ref="E10:F10"/>
    <mergeCell ref="E11:F11"/>
  </mergeCells>
  <conditionalFormatting sqref="E6:F6">
    <cfRule type="expression" dxfId="18" priority="46">
      <formula>$D$6="1/2H"</formula>
    </cfRule>
  </conditionalFormatting>
  <conditionalFormatting sqref="C12">
    <cfRule type="expression" dxfId="17" priority="43">
      <formula>$C$12&lt;&gt;"OK"</formula>
    </cfRule>
    <cfRule type="expression" dxfId="16" priority="44">
      <formula>$C$12="OK"</formula>
    </cfRule>
  </conditionalFormatting>
  <conditionalFormatting sqref="G10">
    <cfRule type="expression" dxfId="15" priority="41">
      <formula>$D$10&lt;&gt;"1/2H"</formula>
    </cfRule>
    <cfRule type="expression" dxfId="14" priority="42">
      <formula>$D$10="1/2H"</formula>
    </cfRule>
  </conditionalFormatting>
  <conditionalFormatting sqref="E10:F10">
    <cfRule type="expression" dxfId="13" priority="37">
      <formula>$E$10="Munice:"</formula>
    </cfRule>
    <cfRule type="expression" dxfId="12" priority="40">
      <formula>$D$10="1/2H"</formula>
    </cfRule>
  </conditionalFormatting>
  <conditionalFormatting sqref="E6:F6">
    <cfRule type="expression" dxfId="11" priority="35">
      <formula>$E$6="Munice:"</formula>
    </cfRule>
  </conditionalFormatting>
  <conditionalFormatting sqref="E7:F7 E11:F11">
    <cfRule type="expression" dxfId="10" priority="27">
      <formula>$E6&lt;&gt;"Munice:"</formula>
    </cfRule>
    <cfRule type="expression" dxfId="9" priority="28">
      <formula>$E6="Munice:"</formula>
    </cfRule>
  </conditionalFormatting>
  <conditionalFormatting sqref="G6">
    <cfRule type="expression" dxfId="8" priority="19">
      <formula>$D$6&lt;&gt;"1/2H"</formula>
    </cfRule>
    <cfRule type="expression" dxfId="7" priority="20">
      <formula>$D$6="1/2H"</formula>
    </cfRule>
  </conditionalFormatting>
  <conditionalFormatting sqref="E5:F5">
    <cfRule type="expression" dxfId="6" priority="18">
      <formula>$E$5&lt;&gt;""</formula>
    </cfRule>
  </conditionalFormatting>
  <conditionalFormatting sqref="E9:F9">
    <cfRule type="expression" dxfId="5" priority="15">
      <formula>$E$9&lt;&gt;""</formula>
    </cfRule>
  </conditionalFormatting>
  <conditionalFormatting sqref="G5">
    <cfRule type="expression" dxfId="4" priority="16">
      <formula>$E$5=""</formula>
    </cfRule>
    <cfRule type="expression" dxfId="3" priority="17">
      <formula>$E$5&lt;&gt;""</formula>
    </cfRule>
  </conditionalFormatting>
  <conditionalFormatting sqref="G9">
    <cfRule type="expression" dxfId="2" priority="11">
      <formula>$E$9&lt;&gt;""</formula>
    </cfRule>
    <cfRule type="expression" dxfId="1" priority="12">
      <formula>$E$9=""</formula>
    </cfRule>
  </conditionalFormatting>
  <conditionalFormatting sqref="C12">
    <cfRule type="expression" dxfId="0" priority="10">
      <formula>TYPE(FIND("Warning",$C$12))&lt;&gt;16</formula>
    </cfRule>
  </conditionalFormatting>
  <dataValidations count="9">
    <dataValidation type="list" allowBlank="1" showInputMessage="1" showErrorMessage="1" sqref="D18:D20">
      <formula1>IF(C18&lt;&gt;"Boxery",$AB$3:$AB$5,$AB$3)</formula1>
    </dataValidation>
    <dataValidation type="list" allowBlank="1" showInputMessage="1" showErrorMessage="1" sqref="C18:C20">
      <formula1>$AD$1:$AD$21</formula1>
    </dataValidation>
    <dataValidation type="list" allowBlank="1" showInputMessage="1" showErrorMessage="1" sqref="K3 K11 K7 C5 C9">
      <formula1>Armors!$B$3:$B$13</formula1>
    </dataValidation>
    <dataValidation type="list" allowBlank="1" showInputMessage="1" showErrorMessage="1" sqref="C3">
      <formula1>$AA$5:$AA$6</formula1>
    </dataValidation>
    <dataValidation type="list" allowBlank="1" showInputMessage="1" showErrorMessage="1" sqref="C11">
      <formula1>Shields!$B$3:$B$10</formula1>
    </dataValidation>
    <dataValidation type="list" allowBlank="1" showInputMessage="1" showErrorMessage="1" sqref="E11:F11 E7:F7">
      <formula1>Ammo!$C$3:$C$9</formula1>
    </dataValidation>
    <dataValidation type="list" allowBlank="1" showInputMessage="1" showErrorMessage="1" sqref="G10 G6">
      <formula1>$AA$1:$AA$2</formula1>
    </dataValidation>
    <dataValidation type="list" allowBlank="1" showInputMessage="1" showErrorMessage="1" sqref="C7">
      <formula1>Shields!$B$3:$B$50</formula1>
    </dataValidation>
    <dataValidation type="list" allowBlank="1" showInputMessage="1" showErrorMessage="1" sqref="C6 C10">
      <formula1>Weapons!$AA$1:$AA$111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AG84"/>
  <sheetViews>
    <sheetView workbookViewId="0"/>
  </sheetViews>
  <sheetFormatPr defaultRowHeight="15"/>
  <cols>
    <col min="1" max="1" width="9.140625" style="4"/>
    <col min="2" max="13" width="13.28515625" customWidth="1"/>
    <col min="26" max="26" width="9.140625" customWidth="1"/>
    <col min="27" max="30" width="9.140625" hidden="1" customWidth="1"/>
    <col min="31" max="31" width="11.85546875" hidden="1" customWidth="1"/>
    <col min="32" max="33" width="9.140625" hidden="1" customWidth="1"/>
    <col min="34" max="34" width="9.140625" customWidth="1"/>
  </cols>
  <sheetData>
    <row r="1" spans="2:33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AA1" s="4" t="s">
        <v>302</v>
      </c>
      <c r="AB1" s="4" t="e">
        <f ca="1">IF(MATCH($B4,Weapons!$C$3:$C$113,0)+2&lt;MATCH("-----1",Weapons!$C$3:$C$113,0)+2,IF(IF(Equip!$D$6="1/2H",Equip!$G$6,Equip!$D$6)="1H",INDIRECT("Weapons!$E$"&amp;MATCH($B4,Weapons!$C$3:$C$113,0)+2),INDIRECT("Weapons!$F$"&amp;MATCH($B4,Weapons!$C$3:$C$113,0)+2)), INDIRECT("Weapons!$E$"&amp;MATCH($B4,Weapons!$C$3:$C$113,0)+2))</f>
        <v>#N/A</v>
      </c>
      <c r="AC1" t="b">
        <v>1</v>
      </c>
      <c r="AD1" s="4" t="s">
        <v>347</v>
      </c>
      <c r="AE1" s="4" t="s">
        <v>358</v>
      </c>
      <c r="AF1">
        <f ca="1">INDIRECT("Armors!$C$"&amp;MATCH(Equip!C5,Armors!$B$3:$B$20,0)+2)</f>
        <v>0</v>
      </c>
      <c r="AG1" s="4">
        <f ca="1">MIN(IF(INDIRECT("Armors!$C$"&amp;MATCH(Equip!C5,Armors!$B$3:$B$20,0)+2)&gt;Stats!$K$9,INDIRECT("Armors!$G$"&amp;MATCH(Equip!C5,Armors!$B$3:$B$20,0)+2),INDIRECT("Armors!$H$"&amp;MATCH(Equip!C5,Armors!$B$3:$B$20,0)+2))+1,0)</f>
        <v>0</v>
      </c>
    </row>
    <row r="2" spans="2:33">
      <c r="B2" s="665" t="s">
        <v>293</v>
      </c>
      <c r="C2" s="666"/>
      <c r="D2" s="666"/>
      <c r="E2" s="666"/>
      <c r="F2" s="666"/>
      <c r="G2" s="667"/>
      <c r="I2" s="668" t="s">
        <v>295</v>
      </c>
      <c r="J2" s="669"/>
      <c r="K2" s="670"/>
      <c r="L2" s="60"/>
      <c r="M2" s="60"/>
      <c r="N2" s="60"/>
      <c r="AA2" s="4" t="s">
        <v>301</v>
      </c>
      <c r="AB2" s="4" t="e">
        <f ca="1">IF(MATCH($B5,Weapons!$C$3:$C$113,0)+2&lt;MATCH("-----1",Weapons!$C$3:$C$113,0)+2,IF(IF(Equip!$D$10="1/2H",Equip!$G$10,Equip!$D$10)="1H",INDIRECT("Weapons!$E$"&amp;MATCH($B5,Weapons!$C$3:$C$113,0)+2),INDIRECT("Weapons!$F$"&amp;MATCH($B5,Weapons!$C$3:$C$113,0)+2)), INDIRECT("Weapons!$E$"&amp;MATCH($B5,Weapons!$C$3:$C$113,0)+2))</f>
        <v>#N/A</v>
      </c>
      <c r="AC2" t="b">
        <v>0</v>
      </c>
      <c r="AD2" s="4" t="s">
        <v>345</v>
      </c>
      <c r="AE2" s="4" t="s">
        <v>359</v>
      </c>
      <c r="AF2" s="4">
        <f ca="1">INDIRECT("Armors!$C$"&amp;MATCH(Equip!C9,Armors!$B$3:$B$20,0)+2)</f>
        <v>0</v>
      </c>
      <c r="AG2" s="4">
        <f ca="1">MIN(IF(INDIRECT("Armors!$C$"&amp;MATCH(Equip!C9,Armors!$B$3:$B$20,0)+2)&gt;Stats!$K$9,INDIRECT("Armors!$G$"&amp;MATCH(Equip!C9,Armors!$B$3:$B$20,0)+2),INDIRECT("Armors!$H$"&amp;MATCH(Equip!C9,Armors!$B$3:$B$20,0)+2))+1,0)</f>
        <v>0</v>
      </c>
    </row>
    <row r="3" spans="2:33">
      <c r="B3" s="614" t="s">
        <v>349</v>
      </c>
      <c r="C3" s="616"/>
      <c r="D3" s="549" t="s">
        <v>48</v>
      </c>
      <c r="E3" s="550"/>
      <c r="F3" s="126" t="s">
        <v>337</v>
      </c>
      <c r="G3" s="136" t="s">
        <v>456</v>
      </c>
      <c r="I3" s="79"/>
      <c r="J3" s="113" t="s">
        <v>303</v>
      </c>
      <c r="K3" s="114" t="s">
        <v>441</v>
      </c>
      <c r="L3" s="60"/>
      <c r="M3" s="60"/>
      <c r="N3" s="60"/>
      <c r="AA3" s="4" t="s">
        <v>355</v>
      </c>
      <c r="AB3" s="4" t="e">
        <f ca="1">IF(MATCH($B4,Weapons!$C$3:$C$113,0)+2&lt;MATCH("-----1",Weapons!$C$3:$C$113,0)+2,IF(IF(Equip!$D$6="1/2H",Equip!$G$6,Equip!$D$6)="1H",INDIRECT("Weapons!$I$"&amp;MATCH($B4,Weapons!$C$3:$C$113,0)+2),INDIRECT("Weapons!$J$"&amp;MATCH($B4,Weapons!$C$3:$C$113,0)+2))+MAX(Character!I20,0),0)</f>
        <v>#N/A</v>
      </c>
      <c r="AC3">
        <f>IF(D6=AD3,IF(TYPE(FIND("Vrhací zbraně",D4))&lt;&gt;16,0,IF(OR(B4="Nic",TYPE(FIND("Střelné zbraně",D4))&lt;&gt;16),"N/A",-3)),0)</f>
        <v>0</v>
      </c>
      <c r="AD3" s="4" t="s">
        <v>354</v>
      </c>
      <c r="AE3" s="4" t="s">
        <v>360</v>
      </c>
      <c r="AF3" s="4">
        <f ca="1">INDIRECT("Armors!$C$"&amp;MATCH(Equip!K3,Armors!$B$3:$B$20,0)+2)</f>
        <v>0</v>
      </c>
      <c r="AG3" s="4">
        <f ca="1">MIN(IF(INDIRECT("Armors!$C$"&amp;MATCH(Equip!K3,Armors!$B$3:$B$20,0)+2)&gt;Stats!$K$9,INDIRECT("Armors!$G$"&amp;MATCH(Equip!K3,Armors!$B$3:$B$20,0)+2),INDIRECT("Armors!$H$"&amp;MATCH(Equip!K3,Armors!$B$3:$B$20,0)+2))+1,0)</f>
        <v>0</v>
      </c>
    </row>
    <row r="4" spans="2:33">
      <c r="B4" s="674" t="str">
        <f>IF(Equip!$C$6="", "Nic", Equip!$C$6)</f>
        <v>Nic</v>
      </c>
      <c r="C4" s="675"/>
      <c r="D4" s="672" t="str">
        <f ca="1">IF(B4="Nic","Beze zbraně",INDIRECT("Weapons!$B$"&amp;MATCH(B4,Weapons!$C$3:$C$113,0)+2))</f>
        <v>Beze zbraně</v>
      </c>
      <c r="E4" s="673"/>
      <c r="F4" s="134">
        <f ca="1">IF(TYPE(Equip!AA3)=2,Equip!G5,IF(Equip!AA3=0,"N/A",Equip!AA3))</f>
        <v>1</v>
      </c>
      <c r="G4" s="86">
        <f ca="1">IF(OR(B4="Nic",D4="Boxery"),Stats!B20,IF(TYPE(MATCH(IF(D4="Nože",Weapons!AB2,B4),Stats!B44:B53,0))&lt;&gt;16,3,IF(TYPE(MATCH(D4,Stats!B33:B42,0))&lt;&gt;16,2,INT(INDIRECT("Stats!$C$"&amp;MATCH(IF(D4="Nože","Nože",LEFT(D4,FIND(" -",D4)-1)),Stats!B25:B31,0)+24)))))</f>
        <v>0</v>
      </c>
      <c r="I4" s="54" t="str">
        <f>IF(Equip!$C$7="", IF(Equip!$C$11="", "Nic", Equip!$C$11), Equip!$C$7)</f>
        <v>Nic</v>
      </c>
      <c r="J4" s="89" t="str">
        <f>IF(Equip!$C$7="", IF(Equip!$C$11="", "Ne", IF(Equip!$D$11="","Ne","Ano")), IF(Equip!$D$7="","Ne","Ano"))</f>
        <v>Ne</v>
      </c>
      <c r="K4" s="257">
        <v>0</v>
      </c>
      <c r="L4" s="60"/>
      <c r="M4" s="60"/>
      <c r="N4" s="60"/>
      <c r="AA4" s="4" t="s">
        <v>356</v>
      </c>
      <c r="AB4" s="4" t="e">
        <f ca="1">IF(MATCH($B5,Weapons!$C$3:$C$113,0)+2&lt;MATCH("-----1",Weapons!$C$3:$C$113,0)+2,IF(IF(Equip!$D$10="1/2H",Equip!$G$10,Equip!$D$10)="1H",INDIRECT("Weapons!$I$"&amp;MATCH($B5,Weapons!$C$3:$C$113,0)+2),INDIRECT("Weapons!$J$"&amp;MATCH($B5,Weapons!$C$3:$C$113,0)+2))+MAX(Character!I20,0),0)</f>
        <v>#N/A</v>
      </c>
      <c r="AC4" s="4">
        <f>IF(D6=AD4,IF(TYPE(FIND("Vrhací zbraně",D5))&lt;&gt;16,0,IF(OR(B5="Nic",TYPE(FIND("Střelné zbraně",D5))&lt;&gt;16),"N/A",-3)),0)</f>
        <v>0</v>
      </c>
      <c r="AD4" s="4" t="s">
        <v>353</v>
      </c>
      <c r="AE4" s="4" t="s">
        <v>361</v>
      </c>
      <c r="AF4" s="4">
        <f ca="1">INDIRECT("Armors!$C$"&amp;MATCH(Equip!K7,Armors!$B$3:$B$20,0)+2)</f>
        <v>0</v>
      </c>
      <c r="AG4" s="4">
        <f ca="1">IF(INDIRECT("Armors!$C$"&amp;MATCH(Equip!K7,Armors!$B$3:$B$20,0)+2)&gt;Stats!$K$9,INDIRECT("Armors!$G$"&amp;MATCH(Equip!K7,Armors!$B$3:$B$20,0)+2),INDIRECT("Armors!$H$"&amp;MATCH(Equip!K7,Armors!$B$3:$B$20,0)+2))</f>
        <v>0</v>
      </c>
    </row>
    <row r="5" spans="2:33">
      <c r="B5" s="674" t="str">
        <f>IF(Equip!$C$10="", "Nic", Equip!$C$10)</f>
        <v>Nic</v>
      </c>
      <c r="C5" s="675"/>
      <c r="D5" s="674" t="str">
        <f ca="1">IF(B5="Nic","Beze zbraně",INDIRECT("Weapons!$B$"&amp;MATCH(B5,Weapons!$C$3:$C$113,0)+2))</f>
        <v>Beze zbraně</v>
      </c>
      <c r="E5" s="675"/>
      <c r="F5" s="135">
        <f ca="1">IF(TYPE(Equip!AA4)=2,Equip!G9,IF(Equip!AA4=0,"N/A",Equip!AA4))</f>
        <v>1</v>
      </c>
      <c r="G5" s="89">
        <f ca="1">IF(OR(B5="Nic",D5="Boxery"),Stats!B20,IF(TYPE(MATCH(IF(D5="Nože",Weapons!AB2,B5),Stats!B44:B53,0))&lt;&gt;16,3,IF(TYPE(MATCH(D5,Stats!B33:B42,0))&lt;&gt;16,2,INT(INDIRECT("Stats!$C$"&amp;MATCH(IF(D5="Nože","Nože",LEFT(D5,FIND(" -",D5)-1)),Stats!B25:B31,0)+24)))))</f>
        <v>0</v>
      </c>
      <c r="I5" s="682" t="str">
        <f ca="1">IF(I4&lt;&gt;"Nic", IF(INDIRECT("Shields!$C$"&amp;MATCH(I4, Shields!$B$3:$B$9, 0)+2)-K4&lt;0, "Štít je zničen", ""), "")</f>
        <v/>
      </c>
      <c r="J5" s="683"/>
      <c r="K5" s="684"/>
      <c r="L5" s="60"/>
      <c r="M5" s="60"/>
      <c r="N5" s="61"/>
      <c r="AA5" s="4" t="s">
        <v>350</v>
      </c>
      <c r="AB5" s="4" t="e">
        <f ca="1">IF(MATCH($B4,Weapons!$C$3:$C$113,0)+2&lt;MATCH("-----1",Weapons!$C$3:$C$113,0)+2,IF(IF(Equip!$D$6="1/2H",Equip!$G$6,Equip!$D$6)="1H",INDIRECT("Weapons!$G$"&amp;MATCH($B4,Weapons!$C$3:$C$113,0)+2),INDIRECT("Weapons!$H$"&amp;MATCH($B4,Weapons!$C$3:$C$113,0)+2)),INDIRECT("Weapons!$F$"&amp;MATCH($B4,Weapons!$C$3:$C$113,0)+2))+MAX(Character!$I$19,0)</f>
        <v>#N/A</v>
      </c>
      <c r="AC5" t="b">
        <f ca="1">IF(TYPE(FIND("Tyčové",D4))=16,IF(OR(NOT(TYPE(FIND("Meče - krátké",D4))=16),NOT(TYPE(FIND("Meče - střední",D4))=16)),TRUE,FALSE),IF(OR(F4=7,F4=8),TRUE,FALSE))</f>
        <v>0</v>
      </c>
      <c r="AD5" s="4" t="str">
        <f ca="1">IF(TYPE(FIND("k",AD7))=16,INT((AD7+G67+I67+IF(TYPE(MATCH("Agresor",Character!D11:D15,0))&lt;&gt;16,2,0))/IF(Character!C4="Pixie",3,1)),IF(TYPE(FIND("+",AD7))=16,IF(G67+I67=0,"",INT((G67+I67+IF(TYPE(MATCH("Agresor",Character!D11:D15,0))&lt;&gt;16,2,0))/IF(Character!C4="Pixie",3,1))&amp;"+")&amp;AD7,INT((INT(LEFT(AD7,FIND("+",AD7)-1))+G67+I67+IF(TYPE(MATCH("Agresor",Character!D11:D15,0))&lt;&gt;16,2,0))/IF(Character!C4="Pixie",3,1))&amp;RIGHT(AD7,LEN(AD7)-FIND("+",AD7)+1)))</f>
        <v>2k10</v>
      </c>
      <c r="AE5" s="4" t="s">
        <v>362</v>
      </c>
      <c r="AF5" s="4">
        <f ca="1">INDIRECT("Armors!$C$"&amp;MATCH(Equip!K11,Armors!$B$3:$B$20,0)+2)</f>
        <v>0</v>
      </c>
      <c r="AG5" s="4">
        <f ca="1">MIN(IF(INDIRECT("Armors!$C$"&amp;MATCH(Equip!K11,Armors!$B$3:$B$20,0)+2)&gt;Stats!$K$9,INDIRECT("Armors!$G$"&amp;MATCH(Equip!K11,Armors!$B$3:$B$20,0)+2),INDIRECT("Armors!$H$"&amp;MATCH(Equip!K11,Armors!$B$3:$B$20,0)+2))+1,0)</f>
        <v>0</v>
      </c>
    </row>
    <row r="6" spans="2:33">
      <c r="B6" s="722" t="s">
        <v>348</v>
      </c>
      <c r="C6" s="724"/>
      <c r="D6" s="676" t="s">
        <v>347</v>
      </c>
      <c r="E6" s="677"/>
      <c r="F6" s="677"/>
      <c r="G6" s="678"/>
      <c r="J6" s="60"/>
      <c r="K6" s="60"/>
      <c r="L6" s="60"/>
      <c r="M6" s="60"/>
      <c r="N6" s="60"/>
      <c r="S6" s="4"/>
      <c r="U6" s="4"/>
      <c r="AA6" s="4" t="s">
        <v>351</v>
      </c>
      <c r="AB6" s="4" t="e">
        <f ca="1">IF(MATCH($B5,Weapons!$C$3:$C$113,0)+2&lt;MATCH("-----1",Weapons!$C$3:$C$113,0)+2,IF(IF(Equip!$D$10="1/2H",Equip!$G$10,Equip!$D$10)="1H",INDIRECT("Weapons!$G$"&amp;MATCH($B5,Weapons!$C$3:$C$113,0)+2),INDIRECT("Weapons!$H$"&amp;MATCH($B5,Weapons!$C$3:$C$113,0)+2)),INDIRECT("Weapons!$F$"&amp;MATCH($B5,Weapons!$C$3:$C$113,0)+2))+MAX(Character!$I$19,0)</f>
        <v>#N/A</v>
      </c>
      <c r="AC6" s="4" t="b">
        <f ca="1">IF(TYPE(FIND("Tyčové",D5))=16,IF(OR(NOT(TYPE(FIND("Meče - krátké",D5))=16),NOT(TYPE(FIND("Meče - střední",D5))=16)),TRUE,FALSE),IF(OR(F5=7,F5=8),TRUE,FALSE))</f>
        <v>0</v>
      </c>
      <c r="AD6" s="4" t="str">
        <f ca="1">IF(TYPE(FIND("k",AD8))=16,INT((AD8+F67+H67+IF(TYPE(MATCH("Agresor",Character!D11:D15,0))&lt;&gt;16,2,0))/IF(Character!C4="Pixie",3,1)),IF(TYPE(FIND("+",AD8))=16,IF(F67+H67=0,"",INT((F67+H67+IF(TYPE(MATCH("Agresor",Character!D11:D15,0))&lt;&gt;16,2,0))/IF(Character!C4="Pixie",3,1))&amp;"+")&amp;AD8,INT((INT(LEFT(AD8,FIND("+",AD8)-1))+F67+H67+IF(TYPE(MATCH("Agresor",Character!D11:D15,0))&lt;&gt;16,2,0))/IF(Character!C4="Pixie",3,1))&amp;RIGHT(AD8,LEN(AD8)-FIND("+",AD8)+1)))</f>
        <v>2k10</v>
      </c>
      <c r="AE6" s="4" t="s">
        <v>427</v>
      </c>
      <c r="AF6" s="4" t="e">
        <f ca="1">MAX(Character!H20-SUM(AF1:AF5),1)</f>
        <v>#VALUE!</v>
      </c>
      <c r="AG6" s="4" t="e">
        <f ca="1">INT((AF6-15)/2)</f>
        <v>#VALUE!</v>
      </c>
    </row>
    <row r="7" spans="2:33">
      <c r="C7" s="137"/>
      <c r="D7" s="137"/>
      <c r="E7" s="137"/>
      <c r="G7" s="4"/>
      <c r="AA7" s="4" t="s">
        <v>307</v>
      </c>
      <c r="AB7" s="4" t="e">
        <f ca="1">IF(MATCH($B4,Weapons!$C$3:$C$113,0)+2&lt;MATCH("-----1",Weapons!$C$3:$C$113,0)+2,IF(IF(Equip!$D$6="1/2H",Equip!$G$6,Equip!$D$6)="1H",INDIRECT("Weapons!$K$"&amp;MATCH($B4,Weapons!$C$3:$C$113,0)+2),INDIRECT("Weapons!$L$"&amp;MATCH($B4,Weapons!$C$3:$C$113,0)+2)), INDIRECT("Weapons!$G$"&amp;MATCH($B4,Weapons!$C$3:$C$113,0)+2))</f>
        <v>#N/A</v>
      </c>
      <c r="AC7" t="e">
        <f ca="1">IF(TYPE(FIND("k",AB7))=16,INT(AB7/IF(Character!C4="Pixie",3,1)+MAX(0,Character!$I$19)+G67+I67/IF(Character!C4="Pixie",3,1)+IF(D4="Boxery",(D59-IF(E59,D55,0)-D67)/2+IF(TYPE(MATCH("Silná pěst",Character!D11:D15,0))&lt;&gt;16,5,0),0)+IF(TYPE(MATCH("Agresor",Character!D11:D15,0))&lt;&gt;16,2,0)),IF(TYPE(FIND("+",AB7))=16,INT(MAX(0,Character!$I$19)+G67+IF(Character!C4="Pixie",0,I67)+IF(D4="Boxery",(D59-IF(E59,D55,0)-D67)/2+IF(TYPE(MATCH("Silná pěst",Character!D11:D15,0))&lt;&gt;16,5,0),0)+IF(TYPE(MATCH("Agresor",Character!D11:D15,0))&lt;&gt;16,2,0))&amp;"+"&amp;IF(Character!C4="Pixie","("&amp;I67&amp;"+","")&amp;AB7&amp;IF(Character!C4="Pixie",")/3",""),INT(MAX(0,Character!$I$19)+G67+IF(Character!C4="Pixie",0,INT(LEFT(AB7,FIND("+",AB7)-1))+I67)+IF(D4="Boxery",(D59-IF(E59,D55,0)-D67)/2+IF(TYPE(MATCH("Silná pěst",Character!D11:D15,0))&lt;&gt;16,5,0),0)+IF(TYPE(MATCH("Agresor",Character!D11:D15,0))&lt;&gt;16,2,0))&amp;"+"&amp;IF(Character!C4="Pixie","("&amp;INT(LEFT(AB7,FIND("+",AB7)-1))+I67&amp;"+","")&amp;RIGHT(AB7,LEN(AB7)-FIND("+",AB7))&amp;IF(Character!C4="Pixie",")/3","")))</f>
        <v>#N/A</v>
      </c>
      <c r="AD7" s="4" t="str">
        <f ca="1">INDIRECT("Ammo!$D$"&amp;MATCH(Equip!$E$7,Ammo!$C$3:$C$20,0)+2)</f>
        <v>2k10</v>
      </c>
      <c r="AE7" s="4" t="s">
        <v>363</v>
      </c>
      <c r="AF7">
        <f ca="1">-AF1-AF2-(MAX(AF3-1,0))-(MAX(AF4-2,0))-(MAX(AF5-2,0))</f>
        <v>0</v>
      </c>
      <c r="AG7" s="4" t="e">
        <f ca="1">MIN(Character!$H$19-INDIRECT("Armors!$F$"&amp;MATCH(Equip!C5, Armors!$B$3:$B$20,0)+2),0)*2</f>
        <v>#VALUE!</v>
      </c>
    </row>
    <row r="8" spans="2:33">
      <c r="B8" s="668" t="s">
        <v>62</v>
      </c>
      <c r="C8" s="669"/>
      <c r="D8" s="670"/>
      <c r="F8" s="668" t="s">
        <v>285</v>
      </c>
      <c r="G8" s="697"/>
      <c r="H8" s="697"/>
      <c r="I8" s="698"/>
      <c r="K8" s="671" t="s">
        <v>446</v>
      </c>
      <c r="L8" s="671"/>
      <c r="M8" s="671"/>
      <c r="AA8" s="4" t="s">
        <v>308</v>
      </c>
      <c r="AB8" s="4" t="e">
        <f ca="1">IF(MATCH($B5,Weapons!$C$3:$C$113,0)+2&lt;MATCH("-----1",Weapons!$C$3:$C$113,0)+2,IF(IF(Equip!$D$10="1/2H",Equip!$G$10,Equip!$D$10)="1H",INDIRECT("Weapons!$K$"&amp;MATCH($B5,Weapons!$C$3:$C$113,0)+2),INDIRECT("Weapons!$L$"&amp;MATCH($B5,Weapons!$C$3:$C$113,0)+2)), INDIRECT("Weapons!$G$"&amp;MATCH($B5,Weapons!$C$3:$C$113,0)+2))</f>
        <v>#N/A</v>
      </c>
      <c r="AC8" s="4" t="e">
        <f ca="1">IF(TYPE(FIND("k",AB8))=16,INT(AB8/IF(Character!C4="Pixie",3,1)+MAX(0,Character!$I$19)+F67+H67/IF(Character!C4="Pixie",3,1)+IF(D5="Boxery",(D60-IF(E60,D55,0)-D67)/2+IF(TYPE(MATCH("Silná pěst",Character!D11:D15,0))&lt;&gt;16,5,0),0)+IF(TYPE(MATCH("Agresor",Character!D11:D15,0))&lt;&gt;16,2,0)),IF(TYPE(FIND("+",AB8))=16,INT(MAX(0,Character!$I$19)+F67+IF(Character!C4="Pixie",0,H67)+IF(D5="Boxery",(D60-IF(E60,D55,0)-D67)/2+IF(TYPE(MATCH("Silná pěst",Character!D11:D15,0))&lt;&gt;16,5,0),0)+IF(TYPE(MATCH("Agresor",Character!D11:D15,0))&lt;&gt;16,2,0))&amp;"+"&amp;IF(Character!C4="Pixie","("&amp;H67&amp;"+","")&amp;AB8&amp;IF(Character!C4="Pixie",")/3",""),INT(MAX(0,Character!$I$19)+F67+IF(Character!C4="Pixie",0,INT(LEFT(AB8,FIND("+",AB8)-1))+H67)+IF(D5="Boxery",(D60-IF(E60,D55,0)-D67)/2+IF(TYPE(MATCH("Silná pěst",Character!D11:D15,0))&lt;&gt;16,5,0),0)+IF(TYPE(MATCH("Agresor",Character!D11:D15,0))&lt;&gt;16,2,0))&amp;"+"&amp;IF(Character!C4="Pixie","("&amp;INT(LEFT(AB8,FIND("+",AB8)-1))+H67&amp;"+","")&amp;RIGHT(AB8,LEN(AB8)-FIND("+",AB8))&amp;IF(Character!C4="Pixie",")/3","")))</f>
        <v>#N/A</v>
      </c>
      <c r="AD8" s="4" t="str">
        <f ca="1">INDIRECT("Ammo!$D$"&amp;MATCH(Equip!$E$11,Ammo!$C$3:$C$20,0)+2)</f>
        <v>2k10</v>
      </c>
      <c r="AE8" s="4" t="s">
        <v>364</v>
      </c>
      <c r="AF8" t="e">
        <f ca="1">MIN(Character!$H$19+IF(AND(Character!C4="Hobit",D4="Střelné zbraně - kuše"),5,0)-IF(B4="Nic",0,IF(MATCH(B4, Weapons!$C$3:$C$500,0)+2&lt;MATCH("-----1", Weapons!$C$3:$C$500,0)+2,INDIRECT("Weapons!$Q$"&amp;MATCH(B4, Weapons!$C$3:$C$500,0)+2),INDIRECT("Weapons!$K$"&amp;MATCH(B4, Weapons!$C$3:$C$500,0)+2))),0)*2</f>
        <v>#VALUE!</v>
      </c>
      <c r="AG8" s="4" t="e">
        <f ca="1">MIN(Character!$H$19-INDIRECT("Armors!$F$"&amp;MATCH(Equip!C9, Armors!$B$3:$B$20,0)+2),0)*2</f>
        <v>#VALUE!</v>
      </c>
    </row>
    <row r="9" spans="2:33" ht="15" customHeight="1">
      <c r="B9" s="79"/>
      <c r="C9" s="113" t="s">
        <v>64</v>
      </c>
      <c r="D9" s="113" t="s">
        <v>65</v>
      </c>
      <c r="F9" s="136" t="s">
        <v>285</v>
      </c>
      <c r="G9" s="291" t="s">
        <v>48</v>
      </c>
      <c r="H9" s="549" t="s">
        <v>497</v>
      </c>
      <c r="I9" s="550"/>
      <c r="K9" s="54"/>
      <c r="L9" s="263" t="s">
        <v>474</v>
      </c>
      <c r="M9" s="146" t="s">
        <v>475</v>
      </c>
      <c r="S9" s="4"/>
      <c r="U9" s="4"/>
      <c r="AA9" s="4" t="s">
        <v>311</v>
      </c>
      <c r="AB9" s="4">
        <f ca="1">IF(OR(I4="Nic",I5&lt;&gt;""),0,IF(INDIRECT("Shields!$C$"&amp;MATCH(I4,Shields!$B$3:$B$9,0)+2)&gt;Stats!K10,INDIRECT("Shields!$E$"&amp;MATCH(I4,Shields!$B$3:$B$9,0)+2),INDIRECT("Shields!$K$"&amp;MATCH(I4,Shields!$B$3:$B$9,0)+2)))</f>
        <v>0</v>
      </c>
      <c r="AC9" t="e">
        <f ca="1">MAX(0,INT((INT(LEFT(AB9,FIND("-",AB9)-1))/IF(Character!C4="Pixie",3,1))+Character!$I$19+IF(TYPE(MATCH("Agresor",Character!D11:D15,0))&lt;&gt;16,2,0)))&amp;" až "&amp;MAX(INT((INT(RIGHT(AB9,LEN(AB9)-FIND("-",AB9)))/IF(Character!C4="Pixie",3,1))+Character!$I$19+IF(TYPE(MATCH("Agresor",Character!D11:D15,0))&lt;&gt;16,2,0)),1)</f>
        <v>#VALUE!</v>
      </c>
      <c r="AD9">
        <v>0</v>
      </c>
      <c r="AE9" s="4" t="s">
        <v>366</v>
      </c>
      <c r="AF9" t="e">
        <f ca="1">MIN(Character!$H$20-IF(B4="Nic",0,IF(MATCH(B4, Weapons!$C$3:$C$500,0)+2&lt;MATCH("-----1", Weapons!$C$3:$C$500,0)+2,INDIRECT("Weapons!$R$"&amp;MATCH(B4, Weapons!$C$3:$C$500,0)+2),INDIRECT("Weapons!$L$"&amp;MATCH(B4, Weapons!$C$3:$C$500,0)+2))),0)*2</f>
        <v>#VALUE!</v>
      </c>
      <c r="AG9" s="4" t="e">
        <f ca="1">MIN(Character!$H$19-INDIRECT("Armors!$F$"&amp;MATCH(Equip!K3, Armors!$B$3:$B$20,0)+2),0)*2</f>
        <v>#VALUE!</v>
      </c>
    </row>
    <row r="10" spans="2:33" s="4" customFormat="1">
      <c r="B10" s="47" t="s">
        <v>30</v>
      </c>
      <c r="C10" s="242" t="s">
        <v>780</v>
      </c>
      <c r="D10" s="258" t="s">
        <v>845</v>
      </c>
      <c r="F10" s="725">
        <v>0</v>
      </c>
      <c r="G10" s="11" t="s">
        <v>498</v>
      </c>
      <c r="H10" s="729" t="s">
        <v>519</v>
      </c>
      <c r="I10" s="730"/>
      <c r="K10" s="7" t="s">
        <v>32</v>
      </c>
      <c r="L10" s="165" t="str">
        <f ca="1">IF(B4="Nic","N/A",IF(OR(NOT(TYPE(FIND("Střelné zbraně",D4))=16),NOT(TYPE(FIND("Vrhací zbraně",D4))=16)),INDIRECT("Weapons!$I$"&amp;MATCH(B4,Weapons!$C$3:$C$500,0)+2),5+MAX(0,Character!I19)-IF(MATCH(B4,Weapons!$C$3:$C$500,0)+2&lt;MATCH("-----2",Weapons!$C$3:$C$500,0)+2,INDIRECT("Weapons!$P$"&amp;MATCH(B4,Weapons!$C$3:$C$500,0)+2),INDIRECT("Weapons!$J$"&amp;MATCH(B4,Weapons!$C$3:$C$500,0)+2))&amp;" (při vrhu)"))</f>
        <v>N/A</v>
      </c>
      <c r="M10" s="240" t="str">
        <f ca="1">IF(TYPE(L10)=1,2*L10,"N/A")</f>
        <v>N/A</v>
      </c>
      <c r="AA10" s="4" t="s">
        <v>313</v>
      </c>
      <c r="AB10" s="4" t="e">
        <f ca="1">IF(MATCH($B4,Weapons!$C$3:$C$113,0)+2&lt;MATCH("-----1",Weapons!$C$3:$C$113,0)+2,IF(IF(Equip!$D$6="1/2H",Equip!$G$6,Equip!$D$6)="1H",INDIRECT("Weapons!$M$"&amp;MATCH($B4,Weapons!$C$3:$C$113,0)+2),INDIRECT("Weapons!$N$"&amp;MATCH($B4,Weapons!$C$3:$C$113,0)+2)), INDIRECT("Weapons!$H$"&amp;MATCH($B4,Weapons!$C$3:$C$113,0)+2))</f>
        <v>#N/A</v>
      </c>
      <c r="AC10"/>
      <c r="AD10">
        <v>1</v>
      </c>
      <c r="AE10" s="4" t="s">
        <v>365</v>
      </c>
      <c r="AF10" s="4" t="e">
        <f ca="1">MIN(Character!$H$19+IF(AND(Character!C4="Hobit",D5="Střelné zbraně - kuše"),5,0)-IF(B5="Nic",0,IF(MATCH(B5, Weapons!$C$3:$C$500,0)+2&lt;MATCH("-----1", Weapons!$C$3:$C$500,0)+2,INDIRECT("Weapons!$Q$"&amp;MATCH(B5, Weapons!$C$3:$C$500,0)+2),INDIRECT("Weapons!$K$"&amp;MATCH(B5, Weapons!$C$3:$C$500,0)+2))),0)*2</f>
        <v>#VALUE!</v>
      </c>
      <c r="AG10" s="4" t="e">
        <f ca="1">MIN(Character!$H$19-INDIRECT("Armors!$F$"&amp;MATCH(Equip!K7, Armors!$B$3:$B$20,0)+2),0)*2</f>
        <v>#VALUE!</v>
      </c>
    </row>
    <row r="11" spans="2:33">
      <c r="B11" s="47" t="s">
        <v>67</v>
      </c>
      <c r="C11" s="242" t="s">
        <v>777</v>
      </c>
      <c r="D11" s="258" t="s">
        <v>846</v>
      </c>
      <c r="F11" s="774"/>
      <c r="G11" s="292" t="s">
        <v>499</v>
      </c>
      <c r="H11" s="739" t="str">
        <f>INT(F10/2)&amp;" kol"&amp;IF(INT(F10/2)=1,"o",IF(AND(INT(F10/2)&gt;=2,INT(F10/2)&lt;=4),"a",""))</f>
        <v>0 kol</v>
      </c>
      <c r="I11" s="740"/>
      <c r="K11" s="8" t="s">
        <v>31</v>
      </c>
      <c r="L11" s="166" t="str">
        <f ca="1">IF(B5="Nic","N/A",IF(OR(NOT(TYPE(FIND("Střelné zbraně",D5))=16),NOT(TYPE(FIND("Vrhací zbraně",D5))=16)),INDIRECT("Weapons!$I$"&amp;MATCH(B5,Weapons!$C$3:$C$500,0)+2),5+MAX(0,Character!I19)-IF(MATCH(B5,Weapons!$C$3:$C$500,0)+2&lt;MATCH("-----2",Weapons!$C$3:$C$500,0)+2,INDIRECT("Weapons!$P$"&amp;MATCH(B5,Weapons!$C$3:$C$500,0)+2),INDIRECT("Weapons!$J$"&amp;MATCH(B5,Weapons!$C$3:$C$500,0)+2))&amp;" (při vrhu)"))</f>
        <v>N/A</v>
      </c>
      <c r="M11" s="150" t="str">
        <f ca="1">IF(TYPE(L11)=1,2*L11,"N/A")</f>
        <v>N/A</v>
      </c>
      <c r="U11" s="4"/>
      <c r="AA11" s="4" t="s">
        <v>312</v>
      </c>
      <c r="AB11" s="4" t="e">
        <f ca="1">IF(MATCH($B5,Weapons!$C$3:$C$113,0)+2&lt;MATCH("-----1",Weapons!$C$3:$C$113,0)+2,IF(IF(Equip!$D$10="1/2H",Equip!$G$10,Equip!$D$10)="1H",INDIRECT("Weapons!$M$"&amp;MATCH($B5,Weapons!$C$3:$C$113,0)+2),INDIRECT("Weapons!$N$"&amp;MATCH($B5,Weapons!$C$3:$C$113,0)+2)), INDIRECT("Weapons!$H$"&amp;MATCH($B5,Weapons!$C$3:$C$113,0)+2))</f>
        <v>#N/A</v>
      </c>
      <c r="AD11">
        <v>2</v>
      </c>
      <c r="AE11" s="4" t="s">
        <v>366</v>
      </c>
      <c r="AF11" s="4" t="e">
        <f ca="1">MIN(Character!$H$20-IF(B5="Nic",0,IF(MATCH(B5, Weapons!$C$3:$C$500,0)+2&lt;MATCH("-----1", Weapons!$C$3:$C$500,0)+2,INDIRECT("Weapons!$R$"&amp;MATCH(B5, Weapons!$C$3:$C$500,0)+2),INDIRECT("Weapons!$L$"&amp;MATCH(B5, Weapons!$C$3:$C$500,0)+2))),0)*2</f>
        <v>#VALUE!</v>
      </c>
      <c r="AG11" s="4" t="e">
        <f ca="1">MIN(Character!$H$19-INDIRECT("Armors!$F$"&amp;MATCH(Equip!K11, Armors!$B$3:$B$20,0)+2),0)*2</f>
        <v>#VALUE!</v>
      </c>
    </row>
    <row r="12" spans="2:33">
      <c r="B12" s="78" t="s">
        <v>32</v>
      </c>
      <c r="C12" s="242" t="s">
        <v>781</v>
      </c>
      <c r="D12" s="258" t="s">
        <v>847</v>
      </c>
      <c r="F12" s="774"/>
      <c r="G12" s="292" t="s">
        <v>500</v>
      </c>
      <c r="H12" s="739" t="s">
        <v>501</v>
      </c>
      <c r="I12" s="740"/>
      <c r="U12" s="4"/>
      <c r="AA12" s="4" t="s">
        <v>340</v>
      </c>
      <c r="AB12">
        <v>7</v>
      </c>
      <c r="AD12">
        <v>3</v>
      </c>
      <c r="AE12" s="4" t="s">
        <v>367</v>
      </c>
      <c r="AF12" s="4" t="e">
        <f ca="1">MIN(Character!$H$19-IF(I4="Nic",0,INDIRECT("Shields!$I$"&amp;MATCH(I4, Shields!$B$3:$B$20,0)+2)),0)*2</f>
        <v>#VALUE!</v>
      </c>
    </row>
    <row r="13" spans="2:33">
      <c r="B13" s="78" t="s">
        <v>31</v>
      </c>
      <c r="C13" s="242" t="s">
        <v>782</v>
      </c>
      <c r="D13" s="258" t="s">
        <v>848</v>
      </c>
      <c r="F13" s="726"/>
      <c r="G13" s="293" t="s">
        <v>502</v>
      </c>
      <c r="H13" s="727" t="s">
        <v>503</v>
      </c>
      <c r="I13" s="728"/>
      <c r="U13" s="4"/>
      <c r="AA13" s="4" t="s">
        <v>357</v>
      </c>
      <c r="AB13" s="4">
        <f ca="1">MIN(AG1:AG5)</f>
        <v>0</v>
      </c>
      <c r="AC13" s="4" t="s">
        <v>442</v>
      </c>
      <c r="AD13" s="4" t="e">
        <f ca="1">IF(Stats!D9="OK",0,IF(Stats!D9="Mírně unavená",-5,IF(Stats!D9="Unavená",-15,IF(Stats!D9="Silně unavená",-30,IF(Stats!D9="Vyčerpaná",-MAX(40, MIN(C27+E27+G27,AB1)/2),"-----")))))</f>
        <v>#VALUE!</v>
      </c>
      <c r="AE13" s="4" t="e">
        <f ca="1">IF(Stats!D9="OK",0,IF(Stats!D9="Mírně unavená",-2,IF(Stats!D9="Unavená",-4,IF(Stats!D9="Silně unavená",-8,IF(Stats!D9="Vyčerpaná",-16,"-----")))))</f>
        <v>#VALUE!</v>
      </c>
      <c r="AF13" s="4" t="e">
        <f>IF(Inventory!L8="Mírná",-5,IF(Inventory!L8="Střední", -15, IF(Inventory!L8="Těžká", -30, IF(Inventory!L8="Extrémní",  -60, 0))))</f>
        <v>#VALUE!</v>
      </c>
      <c r="AG13" s="4" t="e">
        <f>IF(Inventory!L8="Mírná",-1,IF(Inventory!L8="Střední", -4, IF(Inventory!L8="Těžká", -8, IF(Inventory!L8="Extrémní", -16, 0))))</f>
        <v>#VALUE!</v>
      </c>
    </row>
    <row r="14" spans="2:33">
      <c r="B14" s="78" t="s">
        <v>368</v>
      </c>
      <c r="C14" s="242" t="s">
        <v>778</v>
      </c>
      <c r="D14" s="258" t="s">
        <v>849</v>
      </c>
      <c r="F14" s="4" t="s">
        <v>520</v>
      </c>
      <c r="U14" s="4"/>
      <c r="AC14" s="4"/>
      <c r="AD14" s="4" t="e">
        <f ca="1">IF(Stats!D9="OK",0,IF(Stats!D9="Mírně unavená",-5,IF(Stats!D9="Unavená",-15,IF(Stats!D9="Silně unavená",-30,IF(Stats!D9="Vyčerpaná",-MAX(40, MIN(C27+E27+G27,AB2)/2),"-----")))))</f>
        <v>#VALUE!</v>
      </c>
      <c r="AE14" s="4" t="s">
        <v>504</v>
      </c>
      <c r="AF14">
        <f>-F10/2</f>
        <v>0</v>
      </c>
      <c r="AG14">
        <f>-F10*2</f>
        <v>0</v>
      </c>
    </row>
    <row r="15" spans="2:33">
      <c r="B15" s="156" t="s">
        <v>369</v>
      </c>
      <c r="C15" s="243" t="s">
        <v>779</v>
      </c>
      <c r="D15" s="257"/>
      <c r="U15" s="4"/>
      <c r="AA15" s="4" t="s">
        <v>447</v>
      </c>
      <c r="AB15" s="4" t="e">
        <f ca="1">INDIRECT("Stats!$E$"&amp;MATCH(IF(D4="Nože","Nože",LEFT(D4,FIND(" -",D4)-1)),Stats!B25:B31,0)+24)+IF(INDIRECT("Stats!$G$"&amp;MATCH(IF(D4="Nože","Nože",LEFT(D4,FIND(" -",D4)-1)),Stats!B25:B31,0)+24)="N/A",0,INDIRECT("Stats!$F$"&amp;MATCH(IF(D4="Nože","Nože",LEFT(D4,FIND(" -",D4)-1)),Stats!B25:B31,0)+24))</f>
        <v>#VALUE!</v>
      </c>
      <c r="AC15" s="4" t="e">
        <f ca="1">INDIRECT("Stats!$H$"&amp;MATCH(IF(D4="Nože","Nože",LEFT(D4,FIND(" -",D4)-1)),Stats!B25:B31,0)+24)+IF(INDIRECT("Stats!$J$"&amp;MATCH(IF(D4="Nože","Nože",LEFT(D4,FIND(" -",D4)-1)),Stats!B25:B31,0)+24)="N/A",0,INDIRECT("Stats!$I$"&amp;MATCH(IF(D4="Nože","Nože",LEFT(D4,FIND(" -",D4)-1)),Stats!B25:B31,0)+24))</f>
        <v>#VALUE!</v>
      </c>
      <c r="AD15" s="4" t="e">
        <f ca="1">INDIRECT("Stats!$K$"&amp;MATCH(IF(D4="Nože","Nože",LEFT(D4,FIND(" -",D4)-1)),Stats!B25:B31,0)+24)+IF(INDIRECT("Stats!$M$"&amp;MATCH(IF(D4="Nože","Nože",LEFT(D4,FIND(" -",D4)-1)),Stats!B25:B31,0)+24)="N/A",0,INDIRECT("Stats!$L$"&amp;MATCH(IF(D4="Nože","Nože",LEFT(D4,FIND(" -",D4)-1)),Stats!B25:B31,0)+24))</f>
        <v>#VALUE!</v>
      </c>
      <c r="AE15" t="e">
        <f ca="1">INDIRECT("Stats!$N$"&amp;MATCH(IF(D4="Nože","Nože",LEFT(D4,FIND(" -",D4)-1)),Stats!B25:B31,0)+24)+IF(INDIRECT("Stats!$P$"&amp;MATCH(IF(D4="Nože","Nože",LEFT(D4,FIND(" -",D4)-1)),Stats!B25:B31,0)+24)="N/A",0,INDIRECT("Stats!$O$"&amp;MATCH(IF(D4="Nože","Nože",LEFT(D4,FIND(" -",D4)-1)),Stats!B25:B31,0)+24))</f>
        <v>#VALUE!</v>
      </c>
    </row>
    <row r="16" spans="2:33" s="4" customFormat="1">
      <c r="M16" s="6"/>
      <c r="AA16" s="4" t="s">
        <v>448</v>
      </c>
      <c r="AB16" s="4" t="e">
        <f ca="1">INDIRECT("Stats!$E$"&amp;MATCH(D4,Stats!B33:B42,0)+32)+IF(INDIRECT("Stats!$G$"&amp;MATCH(D4,Stats!B33:B42,0)+32)="N/A",0,INDIRECT("Stats!$F$"&amp;MATCH(D4,Stats!B33:B42,0)+32))</f>
        <v>#N/A</v>
      </c>
      <c r="AC16" s="4" t="e">
        <f ca="1">INDIRECT("Stats!$H$"&amp;MATCH(D4,Stats!B33:B42,0)+32)+IF(INDIRECT("Stats!$J$"&amp;MATCH(D4,Stats!B33:B42,0)+32)="N/A",0,INDIRECT("Stats!$I$"&amp;MATCH(D4,Stats!B33:B42,0)+32))</f>
        <v>#N/A</v>
      </c>
      <c r="AD16" s="4" t="e">
        <f ca="1">INDIRECT("Stats!$K$"&amp;MATCH(D4,Stats!B33:B42,0)+32)+IF(INDIRECT("Stats!$M$"&amp;MATCH(D4,Stats!B33:B42,0)+32)="N/A",0,INDIRECT("Stats!$L$"&amp;MATCH(D4,Stats!B33:B42,0)+32))</f>
        <v>#N/A</v>
      </c>
      <c r="AE16" s="4" t="e">
        <f ca="1">INDIRECT("Stats!$N$"&amp;MATCH(D4,Stats!B33:B42,0)+32)+IF(INDIRECT("Stats!$P$"&amp;MATCH(D4,Stats!B33:B42,0)+32)="N/A",0,INDIRECT("Stats!$O$"&amp;MATCH(D4,Stats!B33:B42,0)+32))</f>
        <v>#N/A</v>
      </c>
    </row>
    <row r="17" spans="2:31">
      <c r="B17" s="668" t="s">
        <v>25</v>
      </c>
      <c r="C17" s="697"/>
      <c r="D17" s="697"/>
      <c r="E17" s="697"/>
      <c r="F17" s="697"/>
      <c r="G17" s="697"/>
      <c r="H17" s="697"/>
      <c r="I17" s="697"/>
      <c r="J17" s="697"/>
      <c r="K17" s="698"/>
      <c r="M17" s="4"/>
      <c r="AA17" s="49" t="s">
        <v>449</v>
      </c>
      <c r="AB17" s="49" t="e">
        <f ca="1">IF(D4="Nože",INDIRECT("Stats!$E$"&amp;MATCH(Weapons!AB2,Stats!B44:B53,0)+43)+IF(INDIRECT("Stats!$G$"&amp;MATCH(Weapons!AB2,Stats!B44:B53,0)+43)="N/A",0,INDIRECT("Stats!$F$"&amp;MATCH(Weapons!AB2,Stats!B44:B53,0)+43)),INDIRECT("Stats!$E$"&amp;MATCH(B4,Stats!B44:B53,0)+43)+IF(INDIRECT("Stats!$G$"&amp;MATCH(B4,Stats!B44:B53,0)+43)="N/A",0,INDIRECT("Stats!$F$"&amp;MATCH(B4,Stats!B44:B53,0)+43)))</f>
        <v>#N/A</v>
      </c>
      <c r="AC17" s="49" t="e">
        <f ca="1">IF(D4="Nože",INDIRECT("Stats!$H$"&amp;MATCH(Weapons!AB2,Stats!B44:B53,0)+43)+IF(INDIRECT("Stats!$J$"&amp;MATCH(Weapons!AB2,Stats!B44:B53,0)+43)="N/A",0,INDIRECT("Stats!$I$"&amp;MATCH(Weapons!AB2,Stats!B44:B53,0)+43)),INDIRECT("Stats!$H$"&amp;MATCH(B4,Stats!B44:B53,0)+43)+IF(INDIRECT("Stats!$J$"&amp;MATCH(B4,Stats!B44:B53,0)+43)="N/A",0,INDIRECT("Stats!$I$"&amp;MATCH(B4,Stats!B44:B53,0)+43)))</f>
        <v>#N/A</v>
      </c>
      <c r="AD17" s="49" t="e">
        <f ca="1">IF(D4="Nože",INDIRECT("Stats!$K$"&amp;MATCH(Weapons!AB2,Stats!B44:B53,0)+43)+IF(INDIRECT("Stats!$M$"&amp;MATCH(Weapons!AB2,Stats!B44:B53,0)+43)="N/A",0,INDIRECT("Stats!$L$"&amp;MATCH(Weapons!AB2,Stats!B44:B53,0)+43)),INDIRECT("Stats!$K$"&amp;MATCH(B4,Stats!B44:B53,0)+43)+IF(INDIRECT("Stats!$M$"&amp;MATCH(B4,Stats!B44:B53,0)+43)="N/A",0,INDIRECT("Stats!$L$"&amp;MATCH(B4,Stats!B44:B53,0)+43)))</f>
        <v>#N/A</v>
      </c>
      <c r="AE17" s="49" t="e">
        <f ca="1">IF(D4="Nože",INDIRECT("Stats!$N$"&amp;MATCH(Weapons!AB2,Stats!B44:B53,0)+43)+IF(INDIRECT("Stats!$P$"&amp;MATCH(Weapons!AB2,Stats!B44:B53,0)+43)="N/A",0,INDIRECT("Stats!$O$"&amp;MATCH(Weapons!AB2,Stats!B44:B53,0)+43)),INDIRECT("Stats!$N$"&amp;MATCH(B4,Stats!B44:B53,0)+43)+IF(INDIRECT("Stats!$P$"&amp;MATCH(B4,Stats!B44:B53,0)+43)="N/A",0,INDIRECT("Stats!$O$"&amp;MATCH(B4,Stats!B44:B53,0)+43)))</f>
        <v>#N/A</v>
      </c>
    </row>
    <row r="18" spans="2:31">
      <c r="B18" s="756"/>
      <c r="C18" s="553" t="s">
        <v>28</v>
      </c>
      <c r="D18" s="633" t="s">
        <v>391</v>
      </c>
      <c r="E18" s="772" t="s">
        <v>392</v>
      </c>
      <c r="F18" s="679" t="s">
        <v>393</v>
      </c>
      <c r="G18" s="680"/>
      <c r="H18" s="553" t="s">
        <v>394</v>
      </c>
      <c r="I18" s="553" t="s">
        <v>395</v>
      </c>
      <c r="J18" s="558" t="s">
        <v>488</v>
      </c>
      <c r="K18" s="770" t="s">
        <v>29</v>
      </c>
      <c r="M18" s="4"/>
      <c r="AA18" s="4" t="s">
        <v>450</v>
      </c>
      <c r="AB18" s="4" t="e">
        <f ca="1">INDIRECT("Stats!$E$"&amp;MATCH(IF(D5="Nože","Nože",LEFT(D5,FIND(" -",D5)-1)),Stats!B25:B31,0)+24)+IF(INDIRECT("Stats!$G$"&amp;MATCH(IF(D5="Nože","Nože",LEFT(D5,FIND(" -",D5)-1)),Stats!B25:B31,0)+24)="N/A",0,INDIRECT("Stats!$F$"&amp;MATCH(IF(D5="Nože","Nože",LEFT(D5,FIND(" -",D5)-1)),Stats!B25:B31,0)+24))</f>
        <v>#VALUE!</v>
      </c>
      <c r="AC18" s="4" t="e">
        <f ca="1">INDIRECT("Stats!$H$"&amp;MATCH(IF(D5="Nože","Nože",LEFT(D5,FIND(" -",D5)-1)),Stats!B25:B31,0)+24)+IF(INDIRECT("Stats!$J$"&amp;MATCH(IF(D5="Nože","Nože",LEFT(D5,FIND(" -",D5)-1)),Stats!B25:B31,0)+24)="N/A",0,INDIRECT("Stats!$I$"&amp;MATCH(IF(D5="Nože","Nože",LEFT(D5,FIND(" -",D5)-1)),Stats!B25:B31,0)+24))</f>
        <v>#VALUE!</v>
      </c>
      <c r="AD18" s="4" t="e">
        <f ca="1">INDIRECT("Stats!$K$"&amp;MATCH(IF(D5="Nože","Nože",LEFT(D5,FIND(" -",D5)-1)),Stats!B25:B31,0)+24)+IF(INDIRECT("Stats!$M$"&amp;MATCH(IF(D5="Nože","Nože",LEFT(D5,FIND(" -",D5)-1)),Stats!B25:B31,0)+24)="N/A",0,INDIRECT("Stats!$L$"&amp;MATCH(IF(D5="Nože","Nože",LEFT(D5,FIND(" -",D5)-1)),Stats!B25:B31,0)+24))</f>
        <v>#VALUE!</v>
      </c>
      <c r="AE18" s="4" t="e">
        <f ca="1">INDIRECT("Stats!$N$"&amp;MATCH(IF(D5="Nože","Nože",LEFT(D5,FIND(" -",D5)-1)),Stats!B25:B31,0)+24)+IF(INDIRECT("Stats!$P$"&amp;MATCH(IF(D5="Nože","Nože",LEFT(D5,FIND(" -",D5)-1)),Stats!B25:B31,0)+24)="N/A",0,INDIRECT("Stats!$O$"&amp;MATCH(IF(D5="Nože","Nože",LEFT(D5,FIND(" -",D5)-1)),Stats!B25:B31,0)+24))</f>
        <v>#VALUE!</v>
      </c>
    </row>
    <row r="19" spans="2:31">
      <c r="B19" s="758"/>
      <c r="C19" s="619"/>
      <c r="D19" s="642"/>
      <c r="E19" s="773"/>
      <c r="F19" s="138" t="s">
        <v>31</v>
      </c>
      <c r="G19" s="126" t="s">
        <v>32</v>
      </c>
      <c r="H19" s="619"/>
      <c r="I19" s="619"/>
      <c r="J19" s="559"/>
      <c r="K19" s="771"/>
      <c r="M19" s="4"/>
      <c r="AA19" s="4" t="s">
        <v>451</v>
      </c>
      <c r="AB19" s="4" t="e">
        <f ca="1">INDIRECT("Stats!$E$"&amp;MATCH(D5,Stats!B33:B42,0)+32)+IF(INDIRECT("Stats!$G$"&amp;MATCH(D5,Stats!B33:B42,0)+32)="N/A",0,INDIRECT("Stats!$F$"&amp;MATCH(D5,Stats!B33:B42,0)+32))</f>
        <v>#N/A</v>
      </c>
      <c r="AC19" s="4" t="e">
        <f ca="1">INDIRECT("Stats!$H$"&amp;MATCH(D5,Stats!B33:B42,0)+32)+IF(INDIRECT("Stats!$J$"&amp;MATCH(D5,Stats!B33:B42,0)+32)="N/A",0,INDIRECT("Stats!$I$"&amp;MATCH(D5,Stats!B33:B42,0)+32))</f>
        <v>#N/A</v>
      </c>
      <c r="AD19" s="4" t="e">
        <f ca="1">INDIRECT("Stats!$K$"&amp;MATCH(D5,Stats!B33:B42,0)+32)+IF(INDIRECT("Stats!$M$"&amp;MATCH(D5,Stats!B33:B42,0)+32)="N/A",0,INDIRECT("Stats!$L$"&amp;MATCH(D5,Stats!B33:B42,0)+32))</f>
        <v>#N/A</v>
      </c>
      <c r="AE19" s="4" t="e">
        <f ca="1">INDIRECT("Stats!$N$"&amp;MATCH(D5,Stats!B33:B42,0)+32)+IF(INDIRECT("Stats!$P$"&amp;MATCH(D5,Stats!B33:B42,0)+32)="N/A",0,INDIRECT("Stats!$O$"&amp;MATCH(D5,Stats!B33:B42,0)+32))</f>
        <v>#N/A</v>
      </c>
    </row>
    <row r="20" spans="2:31">
      <c r="B20" s="131" t="s">
        <v>26</v>
      </c>
      <c r="C20" s="88" t="e">
        <f>Stats!K14</f>
        <v>#VALUE!</v>
      </c>
      <c r="D20" s="685" t="e">
        <f ca="1">IF(Stats!D9="OK", 0, IF(Stats!D9="Mírně unavená", -1, IF(Stats!D9="Unavená", -2, IF(Stats!D9="Silně unavená", -4, IF(Stats!D9="Vyčerpaná", -8, "-----")))))+IF(Inventory!$L$8="Žádná", 0, IF(Inventory!$L$8="Mírná", -1, IF(Inventory!$L$8="Střední", -4, IF(Inventory!$L$8="Těžká", -8, -16))))</f>
        <v>#VALUE!</v>
      </c>
      <c r="E20" s="82">
        <f ca="1">IF(D6="Kop",-5,IF(OR(B4="Nic",D4="Boxery",OR(NOT(TYPE(FIND("Střelné zbraně",D4))=16),NOT(TYPE(FIND("Vrhací zbraně",D4))=16))),0,MIN(AB10+2*G4,0))+IF(OR(B5="Nic",D5="Boxery",OR(NOT(TYPE(FIND("Střelné zbraně",D5))=16),NOT(TYPE(FIND("Vrhací zbraně",D5))=16))),0,MIN(AB11+2*G5,0)))</f>
        <v>0</v>
      </c>
      <c r="F20" s="685" t="e">
        <f ca="1">AF10+AF11</f>
        <v>#VALUE!</v>
      </c>
      <c r="G20" s="685" t="e">
        <f ca="1">AF8+AF9</f>
        <v>#VALUE!</v>
      </c>
      <c r="H20" s="685" t="e">
        <f ca="1">AB13+SUM(AG7:AG11)</f>
        <v>#VALUE!</v>
      </c>
      <c r="I20" s="685" t="e">
        <f ca="1">IF(OR($I$4="Nic",$I$5&lt;&gt;""),0,IF(INDIRECT("Shields!$C$"&amp;MATCH($I$4,Shields!$B$3:$B$9,0)+2)&gt;Stats!K10,INDIRECT("Shields!$G$"&amp;MATCH($I$4,Shields!$B$3:$B$9,0)+2),INDIRECT("Shields!$M$"&amp;MATCH($I$4,Shields!$B$3:$B$9,0)+2)))+AF12</f>
        <v>#VALUE!</v>
      </c>
      <c r="J20" s="685">
        <f>INT(AF14)</f>
        <v>0</v>
      </c>
      <c r="K20" s="300" t="e">
        <f ca="1">C20+D20+E20+F20+G20+H20+I20+J20</f>
        <v>#VALUE!</v>
      </c>
      <c r="AA20" s="4" t="s">
        <v>452</v>
      </c>
      <c r="AB20" s="4" t="e">
        <f ca="1">IF(D5="Nože",INDIRECT("Stats!$E$"&amp;MATCH(Weapons!AB2,Stats!B44:B53,0)+43)+IF(INDIRECT("Stats!$G$"&amp;MATCH(Weapons!AB2,Stats!B44:B53,0)+43)="N/A",0,INDIRECT("Stats!$F$"&amp;MATCH(Weapons!AB2,Stats!B44:B53,0)+43)),INDIRECT("Stats!$E$"&amp;MATCH(B5,Stats!B44:B53,0)+43)+IF(INDIRECT("Stats!$G$"&amp;MATCH(B5,Stats!B44:B53,0)+43)="N/A",0,INDIRECT("Stats!$F$"&amp;MATCH(B5,Stats!B44:B53,0)+43)))</f>
        <v>#N/A</v>
      </c>
      <c r="AC20" s="4" t="e">
        <f ca="1">IF(D5="Nože",INDIRECT("Stats!$H$"&amp;MATCH(Weapons!AB2,Stats!B44:B53,0)+43)+IF(INDIRECT("Stats!$J$"&amp;MATCH(Weapons!AB2,Stats!B44:B53,0)+43)="N/A",0,INDIRECT("Stats!$I$"&amp;MATCH(Weapons!AB2,Stats!B44:B53,0)+43)),INDIRECT("Stats!$H$"&amp;MATCH(B5,Stats!B44:B53,0)+43)+IF(INDIRECT("Stats!$J$"&amp;MATCH(B5,Stats!B44:B53,0)+43)="N/A",0,INDIRECT("Stats!$I$"&amp;MATCH(B5,Stats!B44:B53,0)+43)))</f>
        <v>#N/A</v>
      </c>
      <c r="AD20" s="4" t="e">
        <f ca="1">IF(D5="Nože",INDIRECT("Stats!$K$"&amp;MATCH(Weapons!AB2,Stats!B44:B53,0)+43)+IF(INDIRECT("Stats!$M$"&amp;MATCH(Weapons!AB2,Stats!B44:B53,0)+43)="N/A",0,INDIRECT("Stats!$L$"&amp;MATCH(Weapons!AB2,Stats!B44:B53,0)+43)),INDIRECT("Stats!$K$"&amp;MATCH(B5,Stats!B44:B53,0)+43)+IF(INDIRECT("Stats!$M$"&amp;MATCH(B5,Stats!B44:B53,0)+43)="N/A",0,INDIRECT("Stats!$L$"&amp;MATCH(B5,Stats!B44:B53,0)+43)))</f>
        <v>#N/A</v>
      </c>
      <c r="AE20" s="4" t="e">
        <f ca="1">IF(D5="Nože",INDIRECT("Stats!$N$"&amp;MATCH(Weapons!AB2,Stats!B44:B53,0)+43)+IF(INDIRECT("Stats!$P$"&amp;MATCH(Weapons!AB2,Stats!B44:B53,0)+43)="N/A",0,INDIRECT("Stats!$O$"&amp;MATCH(Weapons!AB2,Stats!B44:B53,0)+43)),INDIRECT("Stats!$N$"&amp;MATCH(B5,Stats!B44:B53,0)+43)+IF(INDIRECT("Stats!$P$"&amp;MATCH(B5,Stats!B44:B53,0)+43)="N/A",0,INDIRECT("Stats!$O$"&amp;MATCH(B5,Stats!B44:B53,0)+43)))</f>
        <v>#N/A</v>
      </c>
    </row>
    <row r="21" spans="2:31">
      <c r="B21" s="131" t="s">
        <v>47</v>
      </c>
      <c r="C21" s="42" t="e">
        <f>Stats!K15</f>
        <v>#VALUE!</v>
      </c>
      <c r="D21" s="686"/>
      <c r="E21" s="83">
        <f>IF(D6=AD3,IF(AC3="N/A","N/A",MIN(AB10+AC3+2*AA22,0)),IF(D6=AD4,IF(AC4="N/A","N/A",MIN(AB11+AC4+2*AA22,0)),IF(B4="Nic",0,IF(OR(NOT(TYPE(FIND("Střelné zbraně",D4))=16),NOT(TYPE(FIND("Vrhací zbraně",D4))=16)),MIN(AB10+2*G4,0)))+IF(B5="Nic",0,IF(OR(NOT(TYPE(FIND("Střelné zbraně",D5))=16),NOT(TYPE(FIND("Vrhací zbraně",D5))=16)),MIN(AB11+2*G5,0)))))</f>
        <v>0</v>
      </c>
      <c r="F21" s="686"/>
      <c r="G21" s="686"/>
      <c r="H21" s="686"/>
      <c r="I21" s="686"/>
      <c r="J21" s="686"/>
      <c r="K21" s="301" t="e">
        <f ca="1">IF(E21="N/A","N/A",C21+D20+E21+F20+G20+H20+I20+J20)</f>
        <v>#VALUE!</v>
      </c>
      <c r="L21" s="4"/>
      <c r="M21" s="4"/>
      <c r="AA21" s="4" t="s">
        <v>556</v>
      </c>
    </row>
    <row r="22" spans="2:31">
      <c r="B22" s="132" t="s">
        <v>27</v>
      </c>
      <c r="C22" s="89" t="e">
        <f>Stats!K16</f>
        <v>#VALUE!</v>
      </c>
      <c r="D22" s="687"/>
      <c r="E22" s="690"/>
      <c r="F22" s="691"/>
      <c r="G22" s="692"/>
      <c r="H22" s="85" t="e">
        <f ca="1">H20+AF7</f>
        <v>#VALUE!</v>
      </c>
      <c r="I22" s="687"/>
      <c r="J22" s="687"/>
      <c r="K22" s="302" t="e">
        <f ca="1">C22+D20+H22+I20+J20</f>
        <v>#VALUE!</v>
      </c>
      <c r="L22" s="4"/>
      <c r="AA22" s="4">
        <f>IF(TYPE(MATCH("Vrhací zbraně - bojové",Stats!B33:B42,0))&lt;&gt;16,2,INT(Stats!C31))</f>
        <v>0</v>
      </c>
      <c r="AB22">
        <f>Stats!E31+IF(Stats!G31="N/A",0,Stats!F31)</f>
        <v>0</v>
      </c>
    </row>
    <row r="23" spans="2:31" s="4" customFormat="1">
      <c r="I23"/>
      <c r="L23"/>
      <c r="AB23" s="4" t="e">
        <f ca="1">INDIRECT("Stats!$E$"&amp;MATCH("Vrhací zbraně - bojové",Stats!B33:B42,0)+32)</f>
        <v>#N/A</v>
      </c>
      <c r="AC23" s="4" t="e">
        <f ca="1">INDIRECT("Stats!$K$"&amp;MATCH("Vrhací zbraně - bojové",Stats!B33:B42,0)+32)+IF(INDIRECT("Stats!$M$"&amp;MATCH("Vrhací zbraně - bojové",Stats!B33:B42,0)+32)="N/A",0,INDIRECT("Stats!$L$"&amp;MATCH("Vrhací zbraně - bojové",Stats!B33:B42,0)+32))</f>
        <v>#N/A</v>
      </c>
      <c r="AD23" s="4" t="e">
        <f ca="1">INDIRECT("Stats!$N$"&amp;MATCH("Vrhací zbraně - bojové",Stats!B33:B42,0)+32)+IF(INDIRECT("Stats!$P$"&amp;MATCH("Vrhací zbraně - bojové",Stats!B33:B42,0)+32)="N/A",0,INDIRECT("Stats!$O$"&amp;MATCH("Vrhací zbraně - bojové",Stats!B33:B42,0)+32))</f>
        <v>#N/A</v>
      </c>
    </row>
    <row r="24" spans="2:31">
      <c r="B24" s="671" t="s">
        <v>294</v>
      </c>
      <c r="C24" s="671"/>
      <c r="D24" s="671"/>
      <c r="E24" s="671"/>
      <c r="F24" s="671"/>
      <c r="G24" s="671"/>
      <c r="H24" s="671"/>
      <c r="I24" s="671"/>
      <c r="J24" s="671"/>
      <c r="K24" s="671"/>
      <c r="L24" s="671"/>
      <c r="M24" s="671"/>
    </row>
    <row r="25" spans="2:31" ht="15" customHeight="1">
      <c r="B25" s="298"/>
      <c r="C25" s="688" t="s">
        <v>28</v>
      </c>
      <c r="D25" s="689"/>
      <c r="E25" s="605" t="s">
        <v>397</v>
      </c>
      <c r="F25" s="607"/>
      <c r="G25" s="679" t="s">
        <v>422</v>
      </c>
      <c r="H25" s="680"/>
      <c r="I25" s="558" t="s">
        <v>443</v>
      </c>
      <c r="J25" s="558" t="s">
        <v>314</v>
      </c>
      <c r="K25" s="558" t="s">
        <v>488</v>
      </c>
      <c r="L25" s="663" t="s">
        <v>29</v>
      </c>
      <c r="M25" s="664"/>
    </row>
    <row r="26" spans="2:31">
      <c r="B26" s="299"/>
      <c r="C26" s="121" t="s">
        <v>31</v>
      </c>
      <c r="D26" s="124" t="s">
        <v>32</v>
      </c>
      <c r="E26" s="125" t="s">
        <v>31</v>
      </c>
      <c r="F26" s="126" t="s">
        <v>32</v>
      </c>
      <c r="G26" s="175" t="s">
        <v>31</v>
      </c>
      <c r="H26" s="126" t="s">
        <v>32</v>
      </c>
      <c r="I26" s="559"/>
      <c r="J26" s="681"/>
      <c r="K26" s="559"/>
      <c r="L26" s="244" t="s">
        <v>31</v>
      </c>
      <c r="M26" s="245" t="s">
        <v>32</v>
      </c>
    </row>
    <row r="27" spans="2:31">
      <c r="B27" s="298" t="s">
        <v>346</v>
      </c>
      <c r="C27" s="119" t="e">
        <f>IF(B5="Nic",MAX(0,Character!I20)+7,IF(TYPE(FIND("Střelné zbraně",D5))&lt;&gt;16,Character!H20,AB2)+IF(TYPE(MATCH("Šermíř",Character!D11:D15,0))&lt;&gt;16,IF(OR(D5="Nože",LEFT(D5,4)="Meče"),2,-2),0))-IF(AC4=-3,20,0)</f>
        <v>#VALUE!</v>
      </c>
      <c r="D27" s="127" t="e">
        <f>IF(B4="Nic",MAX(0,Character!I20)+7,IF(TYPE(FIND("Střelné zbraně",D4))&lt;&gt;16,Character!H20,AB1)+IF(TYPE(MATCH("Šermíř",Character!D11:D15,0))&lt;&gt;16,IF(OR(D4="Nože",LEFT(D4,4)="Meče"),2,-2),0))-IF(AC3=-3,20,0)</f>
        <v>#VALUE!</v>
      </c>
      <c r="E27" s="16">
        <f ca="1">IF(AND(Character!C4="Lesní elf",D5="Střelné zbraně - luky"),10,IF(AND(Character!C4="Člověk",OR(D5="Meče - krátké", D5="Meče - střední")),1,IF(AND(Character!C4="Amazonka",OR(TYPE(FIND("Tupé zbraně",D5))&lt;&gt;16,D5="Boxery",B5="Nic")),2,IF(AND(Character!C4="Barbar", OR(D5="Meče - těžké",D5="Sekery - těžké")),2,IF(Character!C4="Temný elf",IF(D5="Meče - střední",1,IF(OR(B5="Dlouhý luk",B5="Skládaný luk"),10,0)),IF(AND(Character!C4="Trpaslík",OR(D5="Sekery - střední", D5="Sekery - těžké", D5="Tupé zbraně - střední", D5="Tupé zbraně - těžké")),2,IF(Character!C4="Kentaur", IF(D5="Střelné zbraně - luky", 15, IF(OR(TYPE(FIND("Kopí",B5))&lt;&gt;16,TYPE(FIND("kopí",B5))&lt;&gt;16), 2,0)),IF(Character!C4="Kobold",IF(OR(D5="Meče - krátké",D5="Meče - střední"),2,0)+IF(F5&lt;&gt;"N/A",MAX(F5-6,0)*-3,0),0))))))))</f>
        <v>0</v>
      </c>
      <c r="F27" s="16">
        <f ca="1">IF(AND(Character!C4="Lesní elf",D4="Střelné zbraně - luky"),10,IF(AND(Character!C4="Člověk",OR(D4="Meče - krátké", D4="Meče - střední")),1,IF(AND(Character!C4="Amazonka",OR(TYPE(FIND("Tupé zbraně",D4))&lt;&gt;16,D4="Boxery",B4="Nic")),2,IF(AND(Character!C4="Barbar", OR(D4="Meče - těžké",D4="Sekery - těžké")),2,IF(Character!C4="Temný elf",IF(D4="Meče - střední",1,IF(OR(B4="Dlouhý luk",B4="Skládaný luk"),10,0)),IF(AND(Character!C4="Trpaslík",OR(D4="Sekery - střední", D4="Sekery - těžké", D4="Tupé zbraně - střední", D4="Tupé zbraně - těžké")),2,IF(Character!C4="Kentaur", IF(D4="Střelné zbraně - luky", 15, IF(OR(TYPE(FIND("Kopí",B4))&lt;&gt;16,TYPE(FIND("kopí",B4))&lt;&gt;16), 2,0)),IF(Character!C4="Kobold",IF(OR(D4="Meče - krátké",D4="Meče - střední"),2,0)+IF(F4&lt;&gt;"N/A",MAX(F4-6,0)*-3,0),0))))))))</f>
        <v>0</v>
      </c>
      <c r="G27" s="128">
        <f ca="1">IF(OR(B5="Nic",D5="Boxery"),Stats!E20,IF(D6=AD4,IF(AA22=1,AB22,IF(AA22=2,AB22+AB23,IF(AA22=3,AB22+AB23+2,0))),IF(G5=0,0,SUM(AB18:INDIRECT("AB"&amp;17+G5)))))</f>
        <v>0</v>
      </c>
      <c r="H27" s="127">
        <f ca="1">IF(OR(B4="Nic",D4="Boxery"),Stats!E20,IF(D6=AD3,IF(AA22=1,AB22,IF(AA22=2,AB22+AB23,IF(AA22=3,AB22+AB23+2,0))),IF(G4=0,0,SUM(AB15:INDIRECT("AB"&amp;14+G4)))))</f>
        <v>0</v>
      </c>
      <c r="I27" s="633" t="e">
        <f ca="1">AE13&amp;" ("&amp;IF(AE13=-16,"1/2, min    -40",AD13)&amp;"%)"</f>
        <v>#VALUE!</v>
      </c>
      <c r="J27" s="685" t="e">
        <f>AG13&amp;" ("&amp;AF13&amp;"%)"</f>
        <v>#VALUE!</v>
      </c>
      <c r="K27" s="685" t="str">
        <f>AF14&amp;" ("&amp;AG14&amp;"%)"</f>
        <v>0 (0%)</v>
      </c>
      <c r="L27" s="246" t="e">
        <f ca="1">IF(TYPE(FIND("Střelné zbraně",D5))&lt;&gt;16,MIN((C27+E27+G27+IF(TYPE(MATCH("Ostrostřelec",Character!D11:D15,0))&lt;&gt;16,20,0)-IF(TYPE(MATCH("Šilhavec",Character!D11:D15,0))&lt;&gt;16,50,0)+AD14+AF13+AG14+IF(TYPE(MATCH("Agresor",Character!D11:D15,0))&lt;&gt;16,2,0))/IF(TYPE(MATCH("Nenávist bohů",Character!D11:D15,0))&lt;&gt;16,2,1),AB2),C27+E27+G27+AE13+AG13+AF14-IF(TYPE(MATCH("Šilhavec",Character!D11:D15,0))&lt;&gt;16,5,0)+IF(TYPE(MATCH("Agresor",Character!D11:D15,0))&lt;&gt;16,2,0))&amp;IF(TYPE(FIND("Střelné zbraně",D5))&lt;&gt;16,"%","+1k10")</f>
        <v>#VALUE!</v>
      </c>
      <c r="M27" s="247" t="e">
        <f ca="1">IF(TYPE(FIND("Střelné zbraně",D4))&lt;&gt;16,MIN((D27+F27+H27+IF(TYPE(MATCH("Ostrostřelec",Character!D11:D15,0))&lt;&gt;16,20,0)-IF(TYPE(MATCH("Šilhavec",Character!D11:D15,0))&lt;&gt;16,50,0)+AD13+AF13+AG14+IF(TYPE(MATCH("Agresor",Character!D11:D15,0))&lt;&gt;16,2,0))/IF(TYPE(MATCH("Nenávist bohů",Character!D11:D15,0))&lt;&gt;16,2,1),AB1),D27+F27+H27+AE13+AG13+AF14-IF(TYPE(MATCH("Šilhavec",Character!D11:D15,0))&lt;&gt;16,5,0)+IF(TYPE(MATCH("Agresor",Character!D11:D15,0))&lt;&gt;16,2,0))&amp;IF(TYPE(FIND("Střelné zbraně",D4))&lt;&gt;16,"%","+1k10")</f>
        <v>#VALUE!</v>
      </c>
    </row>
    <row r="28" spans="2:31">
      <c r="B28" s="108" t="s">
        <v>61</v>
      </c>
      <c r="C28" s="731">
        <f ca="1">IF(OR(I4="Nic",I5&lt;&gt;""),0,IF(INDIRECT("Shields!$C$"&amp;MATCH(I4,Shields!$B$3:$B$9,0)+2)&gt;Stats!K10,INDIRECT("Shields!$D$"&amp;MATCH(I4,Shields!$B$3:$B$9,0)+2),INDIRECT("Shields!$J$"&amp;MATCH(I4,Shields!$B$3:$B$9,0)+2)))</f>
        <v>0</v>
      </c>
      <c r="D28" s="732"/>
      <c r="E28" s="731">
        <f>IF(Character!C4="Amazonka",2,0)</f>
        <v>0</v>
      </c>
      <c r="F28" s="749"/>
      <c r="G28" s="703"/>
      <c r="H28" s="704"/>
      <c r="I28" s="642"/>
      <c r="J28" s="686"/>
      <c r="K28" s="686"/>
      <c r="L28" s="693" t="str">
        <f ca="1">IF(OR(I4="Nic",C28=0),"N/A",C28+E28+AE13+AG13+AF14-IF(TYPE(MATCH("Šilhavec",Character!D11:D15,0))&lt;&gt;16,5,0)+IF(TYPE(MATCH("Agresor",Character!D11:D15,0))&lt;&gt;16,2,0)&amp;IF(I5="","+1k10",""))</f>
        <v>N/A</v>
      </c>
      <c r="M28" s="694"/>
      <c r="AA28" s="4"/>
    </row>
    <row r="29" spans="2:31">
      <c r="B29" s="299" t="s">
        <v>345</v>
      </c>
      <c r="C29" s="660" t="e">
        <f>MAX(0,Character!I20)+5</f>
        <v>#VALUE!</v>
      </c>
      <c r="D29" s="661"/>
      <c r="E29" s="660">
        <f>IF(Character!C4="Amazonka",2,0)</f>
        <v>0</v>
      </c>
      <c r="F29" s="661"/>
      <c r="G29" s="660">
        <f>Stats!E20</f>
        <v>0</v>
      </c>
      <c r="H29" s="661"/>
      <c r="I29" s="643"/>
      <c r="J29" s="687"/>
      <c r="K29" s="687"/>
      <c r="L29" s="695" t="e">
        <f ca="1">C29+E29+G29+AE13+AG13+AF14-IF(TYPE(MATCH("Šilhavec",Character!D11:D15,0))&lt;&gt;16,5,0)+IF(TYPE(MATCH("Agresor",Character!D11:D15,0))&lt;&gt;16,2,0)&amp;"+1k10"</f>
        <v>#VALUE!</v>
      </c>
      <c r="M29" s="696"/>
      <c r="AA29" s="4"/>
    </row>
    <row r="30" spans="2:31">
      <c r="AA30" s="4"/>
    </row>
    <row r="31" spans="2:31">
      <c r="B31" s="668" t="s">
        <v>262</v>
      </c>
      <c r="C31" s="697"/>
      <c r="D31" s="697"/>
      <c r="E31" s="697"/>
      <c r="F31" s="697"/>
      <c r="G31" s="697"/>
      <c r="H31" s="697"/>
      <c r="I31" s="697"/>
      <c r="J31" s="697"/>
      <c r="K31" s="101"/>
      <c r="L31" s="102"/>
      <c r="M31" s="102"/>
      <c r="AA31" s="4"/>
    </row>
    <row r="32" spans="2:31">
      <c r="B32" s="750" t="s">
        <v>791</v>
      </c>
      <c r="C32" s="751"/>
      <c r="D32" s="751"/>
      <c r="E32" s="751"/>
      <c r="F32" s="751"/>
      <c r="G32" s="751"/>
      <c r="H32" s="751"/>
      <c r="I32" s="751"/>
      <c r="J32" s="752"/>
    </row>
    <row r="33" spans="2:17">
      <c r="B33" s="558" t="s">
        <v>787</v>
      </c>
      <c r="C33" s="558" t="s">
        <v>784</v>
      </c>
      <c r="D33" s="746" t="s">
        <v>785</v>
      </c>
      <c r="E33" s="746" t="s">
        <v>786</v>
      </c>
      <c r="F33" s="707" t="s">
        <v>792</v>
      </c>
      <c r="G33" s="761"/>
      <c r="H33" s="756"/>
      <c r="I33" s="707" t="s">
        <v>790</v>
      </c>
      <c r="J33" s="708"/>
    </row>
    <row r="34" spans="2:17">
      <c r="B34" s="681"/>
      <c r="C34" s="681"/>
      <c r="D34" s="747"/>
      <c r="E34" s="747"/>
      <c r="F34" s="762"/>
      <c r="G34" s="763"/>
      <c r="H34" s="757"/>
      <c r="I34" s="709"/>
      <c r="J34" s="710"/>
    </row>
    <row r="35" spans="2:17">
      <c r="B35" s="370" t="e">
        <f>Character!H20</f>
        <v>#VALUE!</v>
      </c>
      <c r="C35" s="370" t="e">
        <f ca="1">B35-AF6</f>
        <v>#VALUE!</v>
      </c>
      <c r="D35" s="376">
        <f>Stats!E20</f>
        <v>0</v>
      </c>
      <c r="E35" s="377" t="e">
        <f ca="1">B35-C35+D35</f>
        <v>#VALUE!</v>
      </c>
      <c r="F35" s="712" t="e">
        <f ca="1">INT((E35-15)/2)</f>
        <v>#VALUE!</v>
      </c>
      <c r="G35" s="764"/>
      <c r="H35" s="758"/>
      <c r="I35" s="754">
        <f ca="1">IF(I5="",IF(I4="Nic",0,IF(INDIRECT("Shields!$C$"&amp;MATCH(I4,Shields!$B$3:$B$20,0)+2)&gt;Stats!K10,INDIRECT("Shields!$F$"&amp;MATCH(I4,Shields!$B$3:$B$20,0)+2),INDIRECT("Shields!$L$"&amp;MATCH(I4,Shields!$B$3:$B$20,0)+2))/IF(J4="Ne",1,2)),0)</f>
        <v>0</v>
      </c>
      <c r="J35" s="755"/>
      <c r="K35" s="379"/>
      <c r="L35" s="378"/>
      <c r="M35" s="378"/>
      <c r="N35" s="378"/>
      <c r="O35" s="378"/>
      <c r="P35" s="378"/>
      <c r="Q35" s="378"/>
    </row>
    <row r="36" spans="2:17">
      <c r="B36" s="551"/>
      <c r="C36" s="608"/>
      <c r="D36" s="608"/>
      <c r="E36" s="608"/>
      <c r="F36" s="608"/>
      <c r="G36" s="608"/>
      <c r="H36" s="608"/>
      <c r="I36" s="608"/>
      <c r="J36" s="608"/>
      <c r="K36" s="47"/>
      <c r="L36" s="23"/>
      <c r="M36" s="23"/>
      <c r="N36" s="23"/>
      <c r="O36" s="23"/>
      <c r="P36" s="23"/>
      <c r="Q36" s="23"/>
    </row>
    <row r="37" spans="2:17" ht="15" customHeight="1">
      <c r="B37" s="765" t="s">
        <v>789</v>
      </c>
      <c r="C37" s="766"/>
      <c r="D37" s="766"/>
      <c r="E37" s="766"/>
      <c r="F37" s="766"/>
      <c r="G37" s="766"/>
      <c r="H37" s="766"/>
      <c r="I37" s="766"/>
      <c r="J37" s="767"/>
    </row>
    <row r="38" spans="2:17">
      <c r="B38" s="759" t="s">
        <v>28</v>
      </c>
      <c r="C38" s="760"/>
      <c r="D38" s="701" t="s">
        <v>397</v>
      </c>
      <c r="E38" s="748"/>
      <c r="F38" s="702"/>
      <c r="G38" s="701" t="s">
        <v>422</v>
      </c>
      <c r="H38" s="702"/>
      <c r="I38" s="707" t="s">
        <v>788</v>
      </c>
      <c r="J38" s="708"/>
    </row>
    <row r="39" spans="2:17">
      <c r="B39" s="121" t="s">
        <v>31</v>
      </c>
      <c r="C39" s="122" t="s">
        <v>32</v>
      </c>
      <c r="D39" s="167" t="s">
        <v>31</v>
      </c>
      <c r="E39" s="124" t="s">
        <v>32</v>
      </c>
      <c r="F39" s="168" t="s">
        <v>396</v>
      </c>
      <c r="G39" s="204" t="s">
        <v>31</v>
      </c>
      <c r="H39" s="168" t="s">
        <v>32</v>
      </c>
      <c r="I39" s="709"/>
      <c r="J39" s="710"/>
    </row>
    <row r="40" spans="2:17">
      <c r="B40" s="367">
        <f ca="1">IF(AND(I43,NOT(AC6)),0,IF(OR($B$5="Nic",D5="Boxery"),7,AB4))+IF(AND(B5&lt;&gt;"Nic",TYPE(MATCH("Šermíř",Character!D11:D15,0))&lt;&gt;16),IF(OR(D5="Nože",LEFT(D5,4)="Meče"),2,-2),0)</f>
        <v>7</v>
      </c>
      <c r="C40" s="375">
        <f ca="1">IF(AND(I43,NOT(AC5)),0,IF(OR($B$4="Nic",D4="Boxery"),7,AB3))+IF(AND(B4&lt;&gt;"Nic",TYPE(MATCH("Šermíř",Character!D11:D15,0))&lt;&gt;16),IF(OR(D4="Nože",LEFT(D4,4)="Meče"),2,-2),0)</f>
        <v>7</v>
      </c>
      <c r="D40" s="367">
        <f ca="1">IF(AND(Character!C4="Člověk",OR(D5="Meče - krátké", D5="Meče - střední")),1,IF(AND(D5="Meče - střední", Character!C4="Temný elf"),1,IF(Character!C4="Kobold",IF(F5&lt;&gt;"N/A",MAX(F5-6,0)*-3,0),0)))</f>
        <v>0</v>
      </c>
      <c r="E40" s="368">
        <f ca="1">IF(AND(Character!C4="Člověk",OR(D4="Meče - krátké", D4="Meče - střední")),1,IF(AND(D4="Meče - střední", Character!C4="Temný elf"),1,IF(Character!C4="Kobold",IF(F4&lt;&gt;"N/A",MAX(F4-6,0)*-3,0),0)))</f>
        <v>0</v>
      </c>
      <c r="F40" s="369">
        <f>IF(Character!C4="Barbar",2,0)</f>
        <v>0</v>
      </c>
      <c r="G40" s="368">
        <f ca="1">IF(OR(B5="Nic",D5="Boxery"),0,IF(G5=0,0,SUM(AC18:INDIRECT("AC"&amp;17+G5))))</f>
        <v>0</v>
      </c>
      <c r="H40" s="369">
        <f ca="1">IF(OR(B4="Nic",D4="Boxery"),0,IF(G4=0,0,SUM(AC15:INDIRECT("AC"&amp;14+G4))))</f>
        <v>0</v>
      </c>
      <c r="I40" s="768">
        <f ca="1">IF(AND(OR(B4="Nic",D4="Boxery"),OR(B5="Nic",D5="Boxery")),IF(AND(I43,NOT(AC6)),0,B40+D40+G40),IF(AND(B4&lt;&gt;"Nic",B5&lt;&gt;"Nic"),IF(Equip!C3="Pravák",IF(AND(I43,NOT(AC5)),0,C40+E40+H40+IF(C40=0,B40+D40+G40,(B40+D40+G40)/IF(TYPE(MATCH("Obouručák",Character!D11:D15,0))&lt;&gt;16,2,4))),IF(AND(I43,NOT(AC6)),0,B40+D40+G40+IF(B40=0,C40+E40+H40,(C40+E40+H40)/IF(TYPE(MATCH("Obouručák",Character!D11:D15,0))&lt;&gt;16,2,4)))),IF(B4="Nic",IF(AND(I43,NOT(AC6)),0,B40+D40+G40),IF(AND(I43,NOT(AC5)),0,C40+E40+H40))))</f>
        <v>7</v>
      </c>
      <c r="J40" s="769"/>
    </row>
    <row r="41" spans="2:17">
      <c r="B41" s="612"/>
      <c r="C41" s="613"/>
      <c r="D41" s="613"/>
      <c r="E41" s="613"/>
      <c r="F41" s="613"/>
      <c r="G41" s="613"/>
      <c r="H41" s="613"/>
      <c r="I41" s="613"/>
      <c r="J41" s="662"/>
    </row>
    <row r="42" spans="2:17" ht="15" customHeight="1">
      <c r="B42" s="744" t="s">
        <v>489</v>
      </c>
      <c r="C42" s="745"/>
      <c r="D42" s="716" t="s">
        <v>795</v>
      </c>
      <c r="E42" s="717"/>
      <c r="F42" s="717"/>
      <c r="G42" s="717"/>
      <c r="H42" s="718"/>
      <c r="I42" s="713" t="s">
        <v>794</v>
      </c>
      <c r="J42" s="626"/>
    </row>
    <row r="43" spans="2:17" ht="15" customHeight="1">
      <c r="B43" s="711" t="e">
        <f ca="1">AE13+AG13+AF14</f>
        <v>#VALUE!</v>
      </c>
      <c r="C43" s="712"/>
      <c r="D43" s="719"/>
      <c r="E43" s="720"/>
      <c r="F43" s="720"/>
      <c r="G43" s="720"/>
      <c r="H43" s="721"/>
      <c r="I43" s="678" t="b">
        <v>0</v>
      </c>
      <c r="J43" s="714"/>
      <c r="K43" s="380"/>
      <c r="L43" s="380"/>
    </row>
    <row r="44" spans="2:17" s="4" customFormat="1">
      <c r="B44" s="551"/>
      <c r="C44" s="608"/>
      <c r="D44" s="715"/>
      <c r="E44" s="715"/>
      <c r="F44" s="715"/>
      <c r="G44" s="715"/>
      <c r="H44" s="715"/>
      <c r="I44" s="608"/>
      <c r="J44" s="552"/>
    </row>
    <row r="45" spans="2:17">
      <c r="B45" s="663" t="s">
        <v>793</v>
      </c>
      <c r="C45" s="753"/>
      <c r="D45" s="753"/>
      <c r="E45" s="753"/>
      <c r="F45" s="753"/>
      <c r="G45" s="753"/>
      <c r="H45" s="753"/>
      <c r="I45" s="753"/>
      <c r="J45" s="664"/>
    </row>
    <row r="46" spans="2:17">
      <c r="B46" s="741" t="e">
        <f ca="1">F35+F40+I40+I35+B43-IF(TYPE(MATCH("Želva",Character!D11:D15,0))&lt;&gt;16,2,0)-IF(TYPE(MATCH("Šilhavec",Character!D11:D15,0))&lt;&gt;16,5,0)-IF(TYPE(MATCH("Agresor",Character!D11:D15,0))&lt;&gt;16,6,0)&amp;"+1k10"</f>
        <v>#VALUE!</v>
      </c>
      <c r="C46" s="742"/>
      <c r="D46" s="742"/>
      <c r="E46" s="742"/>
      <c r="F46" s="742"/>
      <c r="G46" s="742"/>
      <c r="H46" s="742"/>
      <c r="I46" s="742"/>
      <c r="J46" s="743"/>
    </row>
    <row r="48" spans="2:17">
      <c r="B48" s="668" t="s">
        <v>54</v>
      </c>
      <c r="C48" s="697"/>
      <c r="D48" s="697"/>
      <c r="E48" s="697"/>
      <c r="F48" s="697"/>
      <c r="G48" s="698"/>
      <c r="I48" s="4"/>
    </row>
    <row r="49" spans="2:15">
      <c r="B49" s="605" t="s">
        <v>28</v>
      </c>
      <c r="C49" s="607"/>
      <c r="D49" s="605" t="s">
        <v>422</v>
      </c>
      <c r="E49" s="607"/>
      <c r="F49" s="705" t="s">
        <v>29</v>
      </c>
      <c r="G49" s="706"/>
      <c r="I49" s="4"/>
    </row>
    <row r="50" spans="2:15">
      <c r="B50" s="205" t="s">
        <v>31</v>
      </c>
      <c r="C50" s="187" t="s">
        <v>32</v>
      </c>
      <c r="D50" s="205" t="s">
        <v>31</v>
      </c>
      <c r="E50" s="187" t="s">
        <v>32</v>
      </c>
      <c r="F50" s="248" t="s">
        <v>31</v>
      </c>
      <c r="G50" s="249" t="s">
        <v>32</v>
      </c>
      <c r="I50" s="4"/>
      <c r="J50" s="4"/>
    </row>
    <row r="51" spans="2:15">
      <c r="B51" s="184" t="str">
        <f>IF($B$5="Nic","-----",IF(TYPE($AB$6)=16,"-----",$AB$6))</f>
        <v>-----</v>
      </c>
      <c r="C51" s="183" t="str">
        <f>IF($B$4="Nic","-----",IF(TYPE($AB$5)=16,"-----",$AB$5))</f>
        <v>-----</v>
      </c>
      <c r="D51" s="76">
        <f ca="1">IF(B5="Nic",0,IF(D5="Boxery",Stats!G20,IF(D6=AD4,IF(AA22=2,AC23,0),IF(G5=0,0,SUM(AD18:INDIRECT("AD"&amp;17+G5))))))</f>
        <v>0</v>
      </c>
      <c r="E51" s="139">
        <f ca="1">IF(B4="Nic",0,IF(D4="Boxery",Stats!G20,IF(D6=AD3,IF(AA22=2,AC23,0),IF(G4=0,0,SUM(AD15:INDIRECT("AD"&amp;14+G4))))))</f>
        <v>0</v>
      </c>
      <c r="F51" s="250" t="str">
        <f>IF(B51&lt;&gt;"-----",B51+D51+IF(TYPE(MATCH("Agresor",Character!D11:D15,0))&lt;&gt;16,2,0)&amp;" + 1k10","-----")</f>
        <v>-----</v>
      </c>
      <c r="G51" s="251" t="str">
        <f>IF(C51&lt;&gt;"-----",C51+E51+IF(TYPE(MATCH("Agresor",Character!D11:D15,0))&lt;&gt;16,2,0)&amp;"+1k10","-----")</f>
        <v>-----</v>
      </c>
      <c r="K51" s="4"/>
    </row>
    <row r="52" spans="2:15">
      <c r="B52" s="4" t="s">
        <v>505</v>
      </c>
      <c r="G52" s="4"/>
      <c r="H52" s="4"/>
    </row>
    <row r="53" spans="2:15" s="4" customFormat="1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15">
      <c r="B54" s="668" t="s">
        <v>63</v>
      </c>
      <c r="C54" s="697"/>
      <c r="D54" s="697"/>
      <c r="E54" s="698"/>
    </row>
    <row r="55" spans="2:15">
      <c r="B55" s="699" t="s">
        <v>61</v>
      </c>
      <c r="C55" s="700"/>
      <c r="D55" s="88">
        <f ca="1">IF(OR($I$4="Nic",I5&lt;&gt;""),0,INDIRECT("Shields!$H$"&amp;MATCH($I$4,Shields!$B$3:$B$9,0)+2))</f>
        <v>0</v>
      </c>
      <c r="E55" s="558" t="s">
        <v>304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>
      <c r="B56" s="737" t="s">
        <v>428</v>
      </c>
      <c r="C56" s="738"/>
      <c r="D56" s="16">
        <f ca="1">IF($I$4="Nic",0,"ruka + "&amp;INDIRECT("Shields!$N$"&amp;MATCH($I$4,Shields!$B$3:$B$9,0)+2))</f>
        <v>0</v>
      </c>
      <c r="E56" s="559"/>
    </row>
    <row r="57" spans="2:15">
      <c r="B57" s="729" t="s">
        <v>30</v>
      </c>
      <c r="C57" s="730"/>
      <c r="D57" s="247">
        <f ca="1">(IF(INDIRECT("Armors!$C$"&amp;MATCH(Equip!$K$3,Armors!$B$3:$B$13,0)+2)&gt;Stats!$K$9, INDIRECT("Armors!$D$"&amp;MATCH(Equip!$K$3,Armors!$B$3:$B$13,0)+2),INDIRECT("Armors!$E$"&amp;MATCH(Equip!$K$3,Armors!$B$3:$B$13,0)+2))+IF(E57,$D$55,0)+IF(Character!C4="Troll",5,IF(Character!C4="Kobold",2,0)))/IF(Character!C4="Pixie",2,1)</f>
        <v>0</v>
      </c>
      <c r="E57" s="259" t="b">
        <v>0</v>
      </c>
    </row>
    <row r="58" spans="2:15" ht="15" customHeight="1">
      <c r="B58" s="739" t="s">
        <v>67</v>
      </c>
      <c r="C58" s="740"/>
      <c r="D58" s="252">
        <f ca="1">(IF(INDIRECT("Armors!$C$"&amp;MATCH(Equip!$K$7,Armors!$B$3:$B$13,0)+2)&gt;Stats!$K$9, INDIRECT("Armors!$D$"&amp;MATCH(Equip!$K$7,Armors!$B$3:$B$13,0)+2),INDIRECT("Armors!$E$"&amp;MATCH(Equip!$K$7,Armors!$B$3:$B$13,0)+2))+IF(E58,$D$55,0)+IF(Character!C4="Troll",5,IF(Character!C4="Kobold",2,0)))/IF(Character!C4="Pixie",2,1)</f>
        <v>0</v>
      </c>
      <c r="E58" s="259" t="b">
        <v>0</v>
      </c>
    </row>
    <row r="59" spans="2:15" ht="15" customHeight="1">
      <c r="B59" s="739" t="s">
        <v>32</v>
      </c>
      <c r="C59" s="740"/>
      <c r="D59" s="252">
        <f ca="1">(IF(INDIRECT("Armors!$C$"&amp;MATCH(Equip!$C$5,Armors!$B$3:$B$13,0)+2)&gt;Stats!$K$9,INDIRECT("Armors!$D$"&amp;MATCH(Equip!$C$5,Armors!$B$3:$B$13,0)+2),INDIRECT("Armors!$E$"&amp;MATCH(Equip!$C$5,Armors!$B$3:$B$13,0)+2))+IF(E59,$D$55,0)+IF(Character!C4="Troll",5,IF(Character!C4="Kobold",2,0)))/IF(Character!C4="Pixie",2,1)</f>
        <v>0</v>
      </c>
      <c r="E59" s="259" t="b">
        <v>0</v>
      </c>
      <c r="F59" s="58" t="str">
        <f>IF(AND(Equip!C7&lt;&gt;"",NOT(E59)),"&lt;- Musí být TRUE","")</f>
        <v/>
      </c>
    </row>
    <row r="60" spans="2:15" ht="15" customHeight="1">
      <c r="B60" s="739" t="s">
        <v>31</v>
      </c>
      <c r="C60" s="740"/>
      <c r="D60" s="252">
        <f ca="1">(IF(INDIRECT("Armors!$C$"&amp;MATCH(Equip!$C$9,Armors!$B$3:$B$13,0)+2)&gt;Stats!$K$9,INDIRECT("Armors!$D$"&amp;MATCH(Equip!$C$9,Armors!$B$3:$B$13,0)+2),INDIRECT("Armors!$E$"&amp;MATCH(Equip!$C$9,Armors!$B$3:$B$13,0)+2))+IF(E60,$D$55,0)+IF(Character!C4="Troll",5,IF(Character!C4="Kobold",2,0)))/IF(Character!C4="Pixie",2,1)</f>
        <v>0</v>
      </c>
      <c r="E60" s="259" t="b">
        <v>1</v>
      </c>
      <c r="F60" s="58" t="str">
        <f>IF(AND(Equip!C11&lt;&gt;"",NOT(E60)),"&lt;- Musí být TRUE","")</f>
        <v/>
      </c>
    </row>
    <row r="61" spans="2:15" ht="15" customHeight="1">
      <c r="B61" s="739" t="s">
        <v>280</v>
      </c>
      <c r="C61" s="740"/>
      <c r="D61" s="253">
        <f ca="1">(IF(INDIRECT("Armors!$C$"&amp;MATCH(Equip!$K$11,Armors!$B$3:$B$13,0)+2)&gt;Stats!$K$9, INDIRECT("Armors!$D$"&amp;MATCH(Equip!$K$11,Armors!$B$3:$B$13,0)+2),INDIRECT("Armors!$E$"&amp;MATCH(Equip!$K$11,Armors!$B$3:$B$13,0)+2))+IF(E61,$D$55,0)+IF(Character!C4="Troll",5,IF(Character!C4="Kobold",2,0)))/IF(Character!C4="Pixie",2,1)</f>
        <v>0</v>
      </c>
      <c r="E61" s="260" t="b">
        <v>0</v>
      </c>
    </row>
    <row r="62" spans="2:15">
      <c r="B62" s="682" t="str">
        <f ca="1">IF(COUNTIF(E57:E61,TRUE)-1&gt;INT(RIGHT(D56,1)),"Příliš částí těla chráněno štítem","")</f>
        <v/>
      </c>
      <c r="C62" s="683"/>
      <c r="D62" s="254" t="s">
        <v>518</v>
      </c>
      <c r="E62" s="77"/>
    </row>
    <row r="64" spans="2:15">
      <c r="B64" s="668" t="s">
        <v>285</v>
      </c>
      <c r="C64" s="697"/>
      <c r="D64" s="697"/>
      <c r="E64" s="697"/>
      <c r="F64" s="697"/>
      <c r="G64" s="697"/>
      <c r="H64" s="697"/>
      <c r="I64" s="697"/>
      <c r="J64" s="697"/>
      <c r="K64" s="698"/>
      <c r="L64" s="102"/>
      <c r="M64" s="4"/>
      <c r="N64" s="4"/>
      <c r="O64" s="4"/>
    </row>
    <row r="65" spans="2:12">
      <c r="B65" s="731"/>
      <c r="C65" s="732"/>
      <c r="D65" s="560" t="s">
        <v>352</v>
      </c>
      <c r="E65" s="558" t="s">
        <v>776</v>
      </c>
      <c r="F65" s="679" t="s">
        <v>390</v>
      </c>
      <c r="G65" s="680"/>
      <c r="H65" s="605" t="s">
        <v>422</v>
      </c>
      <c r="I65" s="607"/>
      <c r="J65" s="705" t="s">
        <v>29</v>
      </c>
      <c r="K65" s="706"/>
      <c r="L65" s="80"/>
    </row>
    <row r="66" spans="2:12">
      <c r="B66" s="660"/>
      <c r="C66" s="661"/>
      <c r="D66" s="561"/>
      <c r="E66" s="681"/>
      <c r="F66" s="169" t="s">
        <v>31</v>
      </c>
      <c r="G66" s="170" t="s">
        <v>32</v>
      </c>
      <c r="H66" s="169" t="s">
        <v>31</v>
      </c>
      <c r="I66" s="170" t="s">
        <v>32</v>
      </c>
      <c r="J66" s="255" t="s">
        <v>31</v>
      </c>
      <c r="K66" s="256" t="s">
        <v>32</v>
      </c>
    </row>
    <row r="67" spans="2:12">
      <c r="B67" s="729" t="s">
        <v>346</v>
      </c>
      <c r="C67" s="730"/>
      <c r="D67" s="735">
        <v>0</v>
      </c>
      <c r="E67" s="725">
        <v>1</v>
      </c>
      <c r="F67" s="118">
        <f>IF(Character!C4="Troll",IF(OR(TYPE(FIND("Kyj",B5))&lt;&gt;16,TYPE(FIND("kyj",B5))&lt;&gt;16),2,0),0)</f>
        <v>0</v>
      </c>
      <c r="G67" s="87">
        <f>IF(Character!C4="Troll",IF(OR(TYPE(FIND("Kyj",B4))&lt;&gt;16,TYPE(FIND("kyj",B4))&lt;&gt;16),2,0),0)</f>
        <v>0</v>
      </c>
      <c r="H67" s="119">
        <f ca="1">IF(OR(B5="Nic",D5="Boxery"),Stats!G20,IF(D6=AD4,IF(AA22=2,AD23,0),IF(G5=0,0,SUM(AE18:INDIRECT("AE"&amp;17+G5)))))</f>
        <v>0</v>
      </c>
      <c r="I67" s="127">
        <f ca="1">IF(OR(B4="Nic",D4="Boxery"),Stats!G20,IF(D6=AD3,IF(AA22=2,AD23,0),IF(G4=0,0,SUM(AE15:INDIRECT("AE"&amp;14+G4)))))</f>
        <v>0</v>
      </c>
      <c r="J67" s="246" t="e">
        <f ca="1">IF($B$5="Nic",MAX(0,Character!$I$19+H67)+(E67-D67)/2+IF(TYPE(MATCH("Agresor",Character!D11:D15,0))&lt;&gt;16,2,0),IF($AB$8="-----",AD6, $AC$8))</f>
        <v>#VALUE!</v>
      </c>
      <c r="K67" s="247" t="e">
        <f ca="1">IF($B$4="Nic",MAX(0,Character!$I$19+I67)+(E67-D67)/2+IF(TYPE(MATCH("Agresor",Character!D11:D15,0))&lt;&gt;16,2,0),IF($AB$7="-----",AD5, $AC$7))</f>
        <v>#VALUE!</v>
      </c>
    </row>
    <row r="68" spans="2:12">
      <c r="B68" s="727" t="s">
        <v>345</v>
      </c>
      <c r="C68" s="728"/>
      <c r="D68" s="736"/>
      <c r="E68" s="726"/>
      <c r="F68" s="733"/>
      <c r="G68" s="734"/>
      <c r="H68" s="660">
        <f>Stats!G20</f>
        <v>0</v>
      </c>
      <c r="I68" s="661"/>
      <c r="J68" s="695" t="e">
        <f ca="1">MAX(IF(Character!$I$19&lt;0,Character!$I$19/2,Character!$I$19*2)+H68,0)+(D61-IF(E61,D55,0)-D67)/2+IF(TYPE(MATCH("Agresor",Character!D11:D15,0))&lt;&gt;16,2,0)</f>
        <v>#VALUE!</v>
      </c>
      <c r="K68" s="696"/>
    </row>
    <row r="69" spans="2:12">
      <c r="B69" s="722" t="s">
        <v>796</v>
      </c>
      <c r="C69" s="723"/>
      <c r="D69" s="723"/>
      <c r="E69" s="723"/>
      <c r="F69" s="723"/>
      <c r="G69" s="723"/>
      <c r="H69" s="723"/>
      <c r="I69" s="724"/>
      <c r="J69" s="695" t="str">
        <f ca="1">IF(AB9=0,"N/A",AC9)</f>
        <v>N/A</v>
      </c>
      <c r="K69" s="696"/>
    </row>
    <row r="70" spans="2:12" ht="17.25">
      <c r="B70" s="80" t="s">
        <v>506</v>
      </c>
    </row>
    <row r="71" spans="2:12" ht="17.25">
      <c r="B71" s="4" t="s">
        <v>554</v>
      </c>
    </row>
    <row r="73" spans="2:12">
      <c r="F73" s="58"/>
      <c r="G73" s="4"/>
      <c r="H73" s="4"/>
    </row>
    <row r="74" spans="2:12">
      <c r="F74" s="4"/>
      <c r="G74" s="4"/>
      <c r="H74" s="4"/>
    </row>
    <row r="75" spans="2:12">
      <c r="F75" s="4"/>
      <c r="G75" s="4"/>
      <c r="H75" s="4"/>
    </row>
    <row r="76" spans="2:12">
      <c r="C76" s="4"/>
      <c r="D76" s="4"/>
      <c r="E76" s="4"/>
      <c r="F76" s="4"/>
      <c r="G76" s="4"/>
      <c r="H76" s="4"/>
    </row>
    <row r="84" spans="7:8">
      <c r="G84" s="4"/>
      <c r="H84" s="4"/>
    </row>
  </sheetData>
  <mergeCells count="113">
    <mergeCell ref="B6:C6"/>
    <mergeCell ref="D18:D19"/>
    <mergeCell ref="D20:D22"/>
    <mergeCell ref="K18:K19"/>
    <mergeCell ref="H18:H19"/>
    <mergeCell ref="F18:G18"/>
    <mergeCell ref="H20:H21"/>
    <mergeCell ref="B18:B19"/>
    <mergeCell ref="C18:C19"/>
    <mergeCell ref="E18:E19"/>
    <mergeCell ref="I18:I19"/>
    <mergeCell ref="F8:I8"/>
    <mergeCell ref="B17:K17"/>
    <mergeCell ref="J18:J19"/>
    <mergeCell ref="J20:J22"/>
    <mergeCell ref="F10:F13"/>
    <mergeCell ref="H9:I9"/>
    <mergeCell ref="H10:I10"/>
    <mergeCell ref="H11:I11"/>
    <mergeCell ref="H12:I12"/>
    <mergeCell ref="H13:I13"/>
    <mergeCell ref="D33:D34"/>
    <mergeCell ref="B57:C57"/>
    <mergeCell ref="B58:C58"/>
    <mergeCell ref="C28:D28"/>
    <mergeCell ref="D38:F38"/>
    <mergeCell ref="E28:F28"/>
    <mergeCell ref="B31:J31"/>
    <mergeCell ref="B32:J32"/>
    <mergeCell ref="B36:J36"/>
    <mergeCell ref="B45:J45"/>
    <mergeCell ref="I33:J34"/>
    <mergeCell ref="I35:J35"/>
    <mergeCell ref="H33:H35"/>
    <mergeCell ref="B33:B34"/>
    <mergeCell ref="B38:C38"/>
    <mergeCell ref="E33:E34"/>
    <mergeCell ref="F33:G34"/>
    <mergeCell ref="F35:G35"/>
    <mergeCell ref="B37:J37"/>
    <mergeCell ref="I40:J40"/>
    <mergeCell ref="B64:K64"/>
    <mergeCell ref="B56:C56"/>
    <mergeCell ref="B59:C59"/>
    <mergeCell ref="B60:C60"/>
    <mergeCell ref="B61:C61"/>
    <mergeCell ref="B62:C62"/>
    <mergeCell ref="B46:J46"/>
    <mergeCell ref="B41:J41"/>
    <mergeCell ref="B42:C42"/>
    <mergeCell ref="J69:K69"/>
    <mergeCell ref="B69:I69"/>
    <mergeCell ref="E65:E66"/>
    <mergeCell ref="E67:E68"/>
    <mergeCell ref="H68:I68"/>
    <mergeCell ref="B68:C68"/>
    <mergeCell ref="B67:C67"/>
    <mergeCell ref="B65:C66"/>
    <mergeCell ref="D65:D66"/>
    <mergeCell ref="F65:G65"/>
    <mergeCell ref="F68:G68"/>
    <mergeCell ref="J65:K65"/>
    <mergeCell ref="H65:I65"/>
    <mergeCell ref="D67:D68"/>
    <mergeCell ref="J68:K68"/>
    <mergeCell ref="L28:M28"/>
    <mergeCell ref="C29:D29"/>
    <mergeCell ref="L29:M29"/>
    <mergeCell ref="B54:E54"/>
    <mergeCell ref="B55:C55"/>
    <mergeCell ref="E55:E56"/>
    <mergeCell ref="G38:H38"/>
    <mergeCell ref="G29:H29"/>
    <mergeCell ref="G28:H28"/>
    <mergeCell ref="K27:K29"/>
    <mergeCell ref="E29:F29"/>
    <mergeCell ref="J27:J29"/>
    <mergeCell ref="B49:C49"/>
    <mergeCell ref="D49:E49"/>
    <mergeCell ref="F49:G49"/>
    <mergeCell ref="B48:G48"/>
    <mergeCell ref="I38:J39"/>
    <mergeCell ref="B43:C43"/>
    <mergeCell ref="I42:J42"/>
    <mergeCell ref="I27:I29"/>
    <mergeCell ref="I43:J43"/>
    <mergeCell ref="B44:J44"/>
    <mergeCell ref="D42:H43"/>
    <mergeCell ref="C33:C34"/>
    <mergeCell ref="L25:M25"/>
    <mergeCell ref="B2:G2"/>
    <mergeCell ref="B8:D8"/>
    <mergeCell ref="B24:M24"/>
    <mergeCell ref="K8:M8"/>
    <mergeCell ref="D3:E3"/>
    <mergeCell ref="D4:E4"/>
    <mergeCell ref="D5:E5"/>
    <mergeCell ref="D6:G6"/>
    <mergeCell ref="B3:C3"/>
    <mergeCell ref="B4:C4"/>
    <mergeCell ref="B5:C5"/>
    <mergeCell ref="G25:H25"/>
    <mergeCell ref="J25:J26"/>
    <mergeCell ref="I5:K5"/>
    <mergeCell ref="F20:F21"/>
    <mergeCell ref="I2:K2"/>
    <mergeCell ref="I20:I22"/>
    <mergeCell ref="I25:I26"/>
    <mergeCell ref="C25:D25"/>
    <mergeCell ref="G20:G21"/>
    <mergeCell ref="E22:G22"/>
    <mergeCell ref="K25:K26"/>
    <mergeCell ref="E25:F25"/>
  </mergeCells>
  <dataValidations count="2">
    <dataValidation type="list" allowBlank="1" showInputMessage="1" showErrorMessage="1" sqref="I43 E57:E61">
      <formula1>$AC$1:$AC$2</formula1>
    </dataValidation>
    <dataValidation type="list" allowBlank="1" showInputMessage="1" showErrorMessage="1" sqref="D6">
      <formula1>$AD$1:$AD$4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1:AC21"/>
  <sheetViews>
    <sheetView workbookViewId="0"/>
  </sheetViews>
  <sheetFormatPr defaultRowHeight="15"/>
  <cols>
    <col min="2" max="2" width="15.7109375" customWidth="1"/>
    <col min="3" max="9" width="9.140625" customWidth="1"/>
    <col min="10" max="10" width="15.42578125" customWidth="1"/>
    <col min="11" max="12" width="11.7109375" customWidth="1"/>
    <col min="13" max="13" width="12.28515625" customWidth="1"/>
    <col min="14" max="14" width="14.7109375" customWidth="1"/>
    <col min="27" max="29" width="0" hidden="1" customWidth="1"/>
  </cols>
  <sheetData>
    <row r="1" spans="2:29">
      <c r="AA1" s="11" t="s">
        <v>550</v>
      </c>
      <c r="AB1">
        <v>15</v>
      </c>
      <c r="AC1" t="e">
        <f>Character!$H$22+Character!$H$23</f>
        <v>#VALUE!</v>
      </c>
    </row>
    <row r="2" spans="2:29">
      <c r="B2" s="777" t="s">
        <v>712</v>
      </c>
      <c r="C2" s="778"/>
      <c r="D2" s="778"/>
      <c r="E2" s="778"/>
      <c r="F2" s="778"/>
      <c r="G2" s="778"/>
      <c r="H2" s="779"/>
      <c r="J2" s="777" t="s">
        <v>437</v>
      </c>
      <c r="K2" s="778"/>
      <c r="L2" s="778"/>
      <c r="M2" s="778"/>
      <c r="N2" s="779"/>
      <c r="AA2" s="400" t="s">
        <v>838</v>
      </c>
      <c r="AB2">
        <v>15</v>
      </c>
      <c r="AC2" s="4" t="e">
        <f>Character!$H$22+Character!$H$23</f>
        <v>#VALUE!</v>
      </c>
    </row>
    <row r="3" spans="2:29" ht="15" customHeight="1">
      <c r="B3" s="681" t="s">
        <v>833</v>
      </c>
      <c r="C3" s="681" t="s">
        <v>834</v>
      </c>
      <c r="D3" s="681" t="s">
        <v>835</v>
      </c>
      <c r="E3" s="681" t="s">
        <v>836</v>
      </c>
      <c r="F3" s="681" t="s">
        <v>837</v>
      </c>
      <c r="G3" s="782" t="s">
        <v>461</v>
      </c>
      <c r="H3" s="783"/>
      <c r="J3" s="54"/>
      <c r="K3" s="263" t="s">
        <v>467</v>
      </c>
      <c r="L3" s="263" t="s">
        <v>466</v>
      </c>
      <c r="M3" s="263" t="s">
        <v>478</v>
      </c>
      <c r="N3" s="316" t="s">
        <v>873</v>
      </c>
      <c r="AA3" s="400" t="s">
        <v>832</v>
      </c>
      <c r="AB3">
        <v>25</v>
      </c>
      <c r="AC3" s="4" t="e">
        <f>(Character!$H$22+Character!$H$23)/2</f>
        <v>#VALUE!</v>
      </c>
    </row>
    <row r="4" spans="2:29">
      <c r="B4" s="559"/>
      <c r="C4" s="559"/>
      <c r="D4" s="559"/>
      <c r="E4" s="559"/>
      <c r="F4" s="559"/>
      <c r="G4" s="784"/>
      <c r="H4" s="785"/>
      <c r="J4" s="11" t="s">
        <v>439</v>
      </c>
      <c r="K4" s="685" t="e">
        <f>IF(Inventory!L8="Mírná",1,IF(Inventory!L8="Střední",2,IF(Inventory!L8="Těžká",3,IF(Inventory!L8="Extrémní",4,0))))</f>
        <v>#VALUE!</v>
      </c>
      <c r="L4" s="281"/>
      <c r="M4" s="281"/>
      <c r="N4" s="237" t="e">
        <f>N5/2</f>
        <v>#VALUE!</v>
      </c>
      <c r="AA4" s="400" t="s">
        <v>839</v>
      </c>
      <c r="AB4">
        <v>20</v>
      </c>
      <c r="AC4" s="4" t="e">
        <f>Character!$H$22+Character!$H$23</f>
        <v>#VALUE!</v>
      </c>
    </row>
    <row r="5" spans="2:29">
      <c r="B5" s="400" t="s">
        <v>458</v>
      </c>
      <c r="C5" s="403" t="e">
        <f>(Character!H19+Character!H20)*IF(Character!C4="Kentaur",2,1)+IF(TYPE(MATCH("Rychlík",Character!D11:D15,0))&lt;&gt;16,10,0)</f>
        <v>#VALUE!</v>
      </c>
      <c r="D5" s="404" t="e">
        <f>3600/5*C5/1000</f>
        <v>#VALUE!</v>
      </c>
      <c r="E5" s="405" t="e">
        <f>(Character!H19+Character!H20)*IF(Character!D4="Kentaur",2,1)/5</f>
        <v>#VALUE!</v>
      </c>
      <c r="F5" s="404" t="e">
        <f>3600/5*E5/1000</f>
        <v>#VALUE!</v>
      </c>
      <c r="G5" s="786" t="s">
        <v>462</v>
      </c>
      <c r="H5" s="787"/>
      <c r="J5" s="7" t="s">
        <v>469</v>
      </c>
      <c r="K5" s="686"/>
      <c r="L5" s="282"/>
      <c r="M5" s="282"/>
      <c r="N5" s="237" t="e">
        <f>((Character!H19+Character!H20)/10-K4)</f>
        <v>#VALUE!</v>
      </c>
      <c r="AA5" s="400" t="s">
        <v>840</v>
      </c>
      <c r="AB5">
        <v>30</v>
      </c>
      <c r="AC5" s="4" t="e">
        <f>(Character!$H$22+Character!$H$23)/2</f>
        <v>#VALUE!</v>
      </c>
    </row>
    <row r="6" spans="2:29">
      <c r="B6" s="400" t="s">
        <v>459</v>
      </c>
      <c r="C6" s="403" t="e">
        <f>4*C5/5</f>
        <v>#VALUE!</v>
      </c>
      <c r="D6" s="406" t="e">
        <f t="shared" ref="D6:D9" si="0">3600/5*C6/1000</f>
        <v>#VALUE!</v>
      </c>
      <c r="E6" s="407" t="e">
        <f>4*E5/5</f>
        <v>#VALUE!</v>
      </c>
      <c r="F6" s="406" t="e">
        <f t="shared" ref="F6:F9" si="1">3600/5*E6/1000</f>
        <v>#VALUE!</v>
      </c>
      <c r="G6" s="788" t="s">
        <v>552</v>
      </c>
      <c r="H6" s="789"/>
      <c r="J6" s="8" t="s">
        <v>468</v>
      </c>
      <c r="K6" s="687"/>
      <c r="L6" s="268">
        <v>1</v>
      </c>
      <c r="M6" s="268">
        <v>1</v>
      </c>
      <c r="N6" s="238" t="e">
        <f>ROUND(IF(MIN(L6,(Character!H19+Character!H20)/6-K4)&gt;M6,(Character!H19+Character!H20)/10-K4+M6/3,(Character!H19+Character!H20)/6-K4),2)</f>
        <v>#VALUE!</v>
      </c>
      <c r="O6" s="4" t="e">
        <f>IF(AND(L6-N6&lt;=1,L6-N6&gt;0),"Šance na zachycení za okraj: "&amp;Character!H19+Character!H20&amp;"%","")</f>
        <v>#VALUE!</v>
      </c>
      <c r="AA6" s="400" t="s">
        <v>841</v>
      </c>
      <c r="AB6">
        <v>20</v>
      </c>
      <c r="AC6" s="4" t="e">
        <f>Character!$H$22+Character!$H$23</f>
        <v>#VALUE!</v>
      </c>
    </row>
    <row r="7" spans="2:29">
      <c r="B7" s="400" t="s">
        <v>440</v>
      </c>
      <c r="C7" s="403" t="e">
        <f>3*C5/5</f>
        <v>#VALUE!</v>
      </c>
      <c r="D7" s="406" t="e">
        <f t="shared" si="0"/>
        <v>#VALUE!</v>
      </c>
      <c r="E7" s="407" t="e">
        <f>3*E5/5</f>
        <v>#VALUE!</v>
      </c>
      <c r="F7" s="406" t="e">
        <f t="shared" si="1"/>
        <v>#VALUE!</v>
      </c>
      <c r="G7" s="788" t="s">
        <v>463</v>
      </c>
      <c r="H7" s="789"/>
      <c r="I7" s="4"/>
      <c r="K7" s="2"/>
      <c r="M7" s="4"/>
      <c r="AA7" s="400" t="s">
        <v>842</v>
      </c>
      <c r="AB7">
        <v>40</v>
      </c>
      <c r="AC7" s="4" t="e">
        <f>(Character!$H$22+Character!$H$23)/4</f>
        <v>#VALUE!</v>
      </c>
    </row>
    <row r="8" spans="2:29">
      <c r="B8" s="400" t="s">
        <v>460</v>
      </c>
      <c r="C8" s="403" t="e">
        <f>2*C5/5</f>
        <v>#VALUE!</v>
      </c>
      <c r="D8" s="406" t="e">
        <f t="shared" si="0"/>
        <v>#VALUE!</v>
      </c>
      <c r="E8" s="407" t="e">
        <f>2*E5/5</f>
        <v>#VALUE!</v>
      </c>
      <c r="F8" s="406" t="e">
        <f t="shared" si="1"/>
        <v>#VALUE!</v>
      </c>
      <c r="G8" s="788" t="s">
        <v>464</v>
      </c>
      <c r="H8" s="789"/>
      <c r="J8" s="777" t="s">
        <v>438</v>
      </c>
      <c r="K8" s="778"/>
      <c r="L8" s="778"/>
      <c r="M8" s="778"/>
      <c r="N8" s="778"/>
      <c r="O8" s="101"/>
      <c r="AA8" s="401"/>
    </row>
    <row r="9" spans="2:29">
      <c r="B9" s="401" t="s">
        <v>457</v>
      </c>
      <c r="C9" s="408" t="e">
        <f>C5/5</f>
        <v>#VALUE!</v>
      </c>
      <c r="D9" s="409" t="e">
        <f t="shared" si="0"/>
        <v>#VALUE!</v>
      </c>
      <c r="E9" s="410" t="e">
        <f>E5/5</f>
        <v>#VALUE!</v>
      </c>
      <c r="F9" s="409" t="e">
        <f t="shared" si="1"/>
        <v>#VALUE!</v>
      </c>
      <c r="G9" s="780" t="s">
        <v>465</v>
      </c>
      <c r="H9" s="781"/>
      <c r="J9" s="8"/>
      <c r="K9" s="264" t="s">
        <v>415</v>
      </c>
      <c r="L9" s="264" t="s">
        <v>473</v>
      </c>
      <c r="M9" s="264" t="s">
        <v>477</v>
      </c>
      <c r="N9" s="456" t="s">
        <v>476</v>
      </c>
      <c r="O9" s="306"/>
    </row>
    <row r="10" spans="2:29">
      <c r="J10" s="11" t="s">
        <v>471</v>
      </c>
      <c r="K10" s="266">
        <v>0</v>
      </c>
      <c r="L10" s="267" t="e">
        <f>(2+IF(OR(Inventory!L8="Těžká",Inventory!L8="Extrémní"),1,0))*K10</f>
        <v>#VALUE!</v>
      </c>
      <c r="M10" s="685" t="e">
        <f>3*Character!H20&amp;" - 1k100 (%)"</f>
        <v>#VALUE!</v>
      </c>
      <c r="N10" s="298" t="e">
        <f>L10&amp;" - ("&amp;3*Character!H20&amp;" - 1k100%)"</f>
        <v>#VALUE!</v>
      </c>
      <c r="O10" s="261"/>
    </row>
    <row r="11" spans="2:29">
      <c r="B11" s="777" t="s">
        <v>436</v>
      </c>
      <c r="C11" s="778"/>
      <c r="D11" s="778"/>
      <c r="E11" s="778"/>
      <c r="F11" s="778"/>
      <c r="G11" s="778"/>
      <c r="H11" s="779"/>
      <c r="J11" s="8" t="s">
        <v>472</v>
      </c>
      <c r="K11" s="265">
        <v>0</v>
      </c>
      <c r="L11" s="268" t="e">
        <f>(3+IF(OR(Inventory!L8="Těžká",Inventory!L8="Extrémní"),1,0))*K11</f>
        <v>#VALUE!</v>
      </c>
      <c r="M11" s="687"/>
      <c r="N11" s="299" t="e">
        <f>L11&amp;" - ("&amp;3*Character!H20&amp;" - 1k100%)"</f>
        <v>#VALUE!</v>
      </c>
      <c r="O11" s="261"/>
    </row>
    <row r="12" spans="2:29">
      <c r="B12" s="553" t="s">
        <v>843</v>
      </c>
      <c r="C12" s="558" t="s">
        <v>850</v>
      </c>
      <c r="D12" s="558" t="s">
        <v>851</v>
      </c>
      <c r="E12" s="553" t="s">
        <v>49</v>
      </c>
      <c r="F12" s="558" t="s">
        <v>854</v>
      </c>
      <c r="G12" s="558" t="s">
        <v>852</v>
      </c>
      <c r="H12" s="560" t="s">
        <v>853</v>
      </c>
    </row>
    <row r="13" spans="2:29">
      <c r="B13" s="619"/>
      <c r="C13" s="681"/>
      <c r="D13" s="559"/>
      <c r="E13" s="619"/>
      <c r="F13" s="681"/>
      <c r="G13" s="559"/>
      <c r="H13" s="625"/>
      <c r="J13" s="777" t="s">
        <v>541</v>
      </c>
      <c r="K13" s="778"/>
      <c r="L13" s="778"/>
      <c r="M13" s="778"/>
      <c r="N13" s="779"/>
    </row>
    <row r="14" spans="2:29">
      <c r="B14" s="51"/>
      <c r="C14" s="441" t="str">
        <f ca="1">IF(B14&lt;&gt;"",4*INDIRECT("AC"&amp;MATCH(B14,$AA$1:$AA$7,0)),"")</f>
        <v/>
      </c>
      <c r="D14" s="437">
        <v>0</v>
      </c>
      <c r="E14" s="426"/>
      <c r="F14" s="431" t="str">
        <f ca="1">IF(C14="","",IF(AND(IF(AND(MOD(C14,2)&lt;&gt;0,E14=C14),0.5,MAX(INT((C14+E14)/C14)-1,0.5))&gt;1,TYPE(MATCH("Učenlivý",Character!$D$11:$D$15,0))&lt;&gt;16),-1,0)+IF(AND(MOD(C14,2)&lt;&gt;0,E14=C14),0.5,MAX(INT((C14+E14)/C14)-1,0.5)))</f>
        <v/>
      </c>
      <c r="G14" s="427"/>
      <c r="H14" s="428" t="str">
        <f ca="1">IF(C14&lt;&gt;"",C14+E14*IF(Character!$C$4="Člověk",1.5,1)&amp;"%","")</f>
        <v/>
      </c>
      <c r="J14" s="146" t="s">
        <v>490</v>
      </c>
      <c r="K14" s="549" t="s">
        <v>491</v>
      </c>
      <c r="L14" s="550"/>
      <c r="M14" s="549" t="s">
        <v>492</v>
      </c>
      <c r="N14" s="550"/>
    </row>
    <row r="15" spans="2:29">
      <c r="B15" s="47"/>
      <c r="C15" s="235" t="str">
        <f ca="1">IF(B15&lt;&gt;"",INDIRECT("AC"&amp;MATCH(B15,$AA$1:$AA$7,0)),"")</f>
        <v/>
      </c>
      <c r="D15" s="434" t="str">
        <f ca="1">IF(B15&lt;&gt;"",INDIRECT("AB"&amp;MATCH(B15,$AA$1:$AA$7,0)),"")</f>
        <v/>
      </c>
      <c r="E15" s="433"/>
      <c r="F15" s="436" t="str">
        <f ca="1">IF(C15="","",IF(AND(IF(AND(MOD(C15,2)&lt;&gt;0,E15=C15),0.5,MAX(INT((C15+E15)/C15)-1,0.5))&gt;1,TYPE(MATCH("Učenlivý",Character!$D$11:$D$15,0))&lt;&gt;16),-1,0)+IF(AND(MOD(C15,2)&lt;&gt;0,E15=C15),0.5,MAX(INT((C15+E15)/C15)-1,0.5)))</f>
        <v/>
      </c>
      <c r="G15" s="435"/>
      <c r="H15" s="429" t="str">
        <f ca="1">IF(C15&lt;&gt;"",C15+E15*IF(Character!$C$4="Člověk",1.5,1)&amp;"%","")</f>
        <v/>
      </c>
      <c r="J15" s="295" t="e">
        <f>Character!H21&amp;" kol"</f>
        <v>#VALUE!</v>
      </c>
      <c r="K15" s="660" t="e">
        <f>Character!H24&amp;"% na "&amp;Character!H21/2&amp;" kol"</f>
        <v>#VALUE!</v>
      </c>
      <c r="L15" s="661"/>
      <c r="M15" s="551" t="e">
        <f>Character!H21/2&amp;" kol"</f>
        <v>#VALUE!</v>
      </c>
      <c r="N15" s="552"/>
    </row>
    <row r="16" spans="2:29">
      <c r="B16" s="47"/>
      <c r="C16" s="235" t="str">
        <f ca="1">IF(B16&lt;&gt;"",INDIRECT("AC"&amp;MATCH(B16,$AA$1:$AA$7,0)),"")</f>
        <v/>
      </c>
      <c r="D16" s="434" t="str">
        <f ca="1">IF(B16&lt;&gt;"",INDIRECT("AB"&amp;MATCH(B16,$AA$1:$AA$7,0)),"")</f>
        <v/>
      </c>
      <c r="E16" s="433"/>
      <c r="F16" s="436" t="str">
        <f ca="1">IF(C16="","",IF(AND(IF(AND(MOD(C16,2)&lt;&gt;0,E16=C16),0.5,MAX(INT((C16+E16)/C16)-1,0.5))&gt;1,TYPE(MATCH("Učenlivý",Character!$D$11:$D$15,0))&lt;&gt;16),-1,0)+IF(AND(MOD(C16,2)&lt;&gt;0,E16=C16),0.5,MAX(INT((C16+E16)/C16)-1,0.5)))</f>
        <v/>
      </c>
      <c r="G16" s="435"/>
      <c r="H16" s="429" t="str">
        <f ca="1">IF(C16&lt;&gt;"",C16+E16*IF(Character!$C$4="Člověk",1.5,1)&amp;"%","")</f>
        <v/>
      </c>
    </row>
    <row r="17" spans="2:12">
      <c r="B17" s="47"/>
      <c r="C17" s="235" t="str">
        <f ca="1">IF(B17&lt;&gt;"",INDIRECT("AC"&amp;MATCH(B17,$AA$1:$AA$7,0)),"")</f>
        <v/>
      </c>
      <c r="D17" s="434" t="str">
        <f ca="1">IF(B17&lt;&gt;"",INDIRECT("AB"&amp;MATCH(B17,$AA$1:$AA$7,0)),"")</f>
        <v/>
      </c>
      <c r="E17" s="433"/>
      <c r="F17" s="436" t="str">
        <f ca="1">IF(C17="","",IF(AND(IF(AND(MOD(C17,2)&lt;&gt;0,E17=C17),0.5,MAX(INT((C17+E17)/C17)-1,0.5))&gt;1,TYPE(MATCH("Učenlivý",Character!$D$11:$D$15,0))&lt;&gt;16),-1,0)+IF(AND(MOD(C17,2)&lt;&gt;0,E17=C17),0.5,MAX(INT((C17+E17)/C17)-1,0.5)))</f>
        <v/>
      </c>
      <c r="G17" s="435"/>
      <c r="H17" s="429" t="str">
        <f ca="1">IF(C17&lt;&gt;"",C17+E17*IF(Character!$C$4="Člověk",1.5,1)&amp;"%","")</f>
        <v/>
      </c>
      <c r="J17" s="775" t="s">
        <v>493</v>
      </c>
      <c r="K17" s="775"/>
      <c r="L17" s="775"/>
    </row>
    <row r="18" spans="2:12">
      <c r="B18" s="47"/>
      <c r="C18" s="235" t="str">
        <f ca="1">IF(B18&lt;&gt;"",INDIRECT("AC"&amp;MATCH(B18,$AA$1:$AA$7,0)),"")</f>
        <v/>
      </c>
      <c r="D18" s="434" t="str">
        <f ca="1">IF(B18&lt;&gt;"",INDIRECT("AB"&amp;MATCH(B18,$AA$1:$AA$7,0)),"")</f>
        <v/>
      </c>
      <c r="E18" s="433"/>
      <c r="F18" s="436" t="str">
        <f ca="1">IF(C18="","",IF(AND(IF(AND(MOD(C18,2)&lt;&gt;0,E18=C18),0.5,MAX(INT((C18+E18)/C18)-1,0.5))&gt;1,TYPE(MATCH("Učenlivý",Character!$D$11:$D$15,0))&lt;&gt;16),-1,0)+IF(AND(MOD(C18,2)&lt;&gt;0,E18=C18),0.5,MAX(INT((C18+E18)/C18)-1,0.5)))</f>
        <v/>
      </c>
      <c r="G18" s="435"/>
      <c r="H18" s="429" t="str">
        <f ca="1">IF(C18&lt;&gt;"",C18+E18*IF(Character!$C$4="Člověk",1.5,1)&amp;"%","")</f>
        <v/>
      </c>
      <c r="J18" s="289" t="s">
        <v>494</v>
      </c>
      <c r="K18" s="289" t="s">
        <v>467</v>
      </c>
      <c r="L18" s="316" t="s">
        <v>858</v>
      </c>
    </row>
    <row r="19" spans="2:12">
      <c r="B19" s="48"/>
      <c r="C19" s="442" t="str">
        <f ca="1">IF(B19&lt;&gt;"",INDIRECT("AC"&amp;MATCH(B19,$AA$1:$AA$7,0)),"")</f>
        <v/>
      </c>
      <c r="D19" s="439" t="str">
        <f ca="1">IF(B19&lt;&gt;"",INDIRECT("AB"&amp;MATCH(B19,$AA$1:$AA$7,0)),"")</f>
        <v/>
      </c>
      <c r="E19" s="438"/>
      <c r="F19" s="432" t="str">
        <f ca="1">IF(C19="","",IF(AND(IF(AND(MOD(C19,2)&lt;&gt;0,E19=C19),0.5,MAX(INT((C19+E19)/C19)-1,0.5))&gt;1,TYPE(MATCH("Učenlivý",Character!$D$11:$D$15,0))&lt;&gt;16),-1,0)+IF(AND(MOD(C19,2)&lt;&gt;0,E19=C19),0.5,MAX(INT((C19+E19)/C19)-1,0.5)))</f>
        <v/>
      </c>
      <c r="G19" s="440"/>
      <c r="H19" s="430" t="str">
        <f ca="1">IF(C19&lt;&gt;"",C19+E19*IF(Character!$C$4="Člověk",1.5,1)&amp;"%","")</f>
        <v/>
      </c>
      <c r="J19" s="290">
        <f ca="1">MAX(Combat!AF1:AF5)</f>
        <v>0</v>
      </c>
      <c r="K19" s="290" t="e">
        <f>IF(Inventory!L8="Mírná",1,IF(Inventory!L8="Střední",2,IF(Inventory!L8="Těžká",3,IF(Inventory!L8="Extrémní",4,0))))</f>
        <v>#VALUE!</v>
      </c>
      <c r="L19" s="290" t="e">
        <f ca="1">1+J19+K19</f>
        <v>#VALUE!</v>
      </c>
    </row>
    <row r="20" spans="2:12">
      <c r="J20" s="699" t="s">
        <v>495</v>
      </c>
      <c r="K20" s="700"/>
      <c r="L20" s="294" t="e">
        <f ca="1">-Combat!AG6</f>
        <v>#VALUE!</v>
      </c>
    </row>
    <row r="21" spans="2:12">
      <c r="J21" s="776" t="s">
        <v>496</v>
      </c>
      <c r="K21" s="776"/>
      <c r="L21" s="295" t="e">
        <f ca="1">MAX(Combat!F35+Combat!B43,Combat!AG6+Combat!I35+Combat!B43)</f>
        <v>#VALUE!</v>
      </c>
    </row>
  </sheetData>
  <mergeCells count="32">
    <mergeCell ref="M14:N14"/>
    <mergeCell ref="M15:N15"/>
    <mergeCell ref="J13:N13"/>
    <mergeCell ref="B12:B13"/>
    <mergeCell ref="E12:E13"/>
    <mergeCell ref="G12:G13"/>
    <mergeCell ref="H12:H13"/>
    <mergeCell ref="F12:F13"/>
    <mergeCell ref="C12:C13"/>
    <mergeCell ref="M10:M11"/>
    <mergeCell ref="K4:K6"/>
    <mergeCell ref="J2:N2"/>
    <mergeCell ref="C3:C4"/>
    <mergeCell ref="B3:B4"/>
    <mergeCell ref="E3:E4"/>
    <mergeCell ref="B11:H11"/>
    <mergeCell ref="G9:H9"/>
    <mergeCell ref="B2:H2"/>
    <mergeCell ref="J8:N8"/>
    <mergeCell ref="G3:H4"/>
    <mergeCell ref="G5:H5"/>
    <mergeCell ref="G6:H6"/>
    <mergeCell ref="G7:H7"/>
    <mergeCell ref="G8:H8"/>
    <mergeCell ref="J17:L17"/>
    <mergeCell ref="J20:K20"/>
    <mergeCell ref="J21:K21"/>
    <mergeCell ref="D3:D4"/>
    <mergeCell ref="F3:F4"/>
    <mergeCell ref="D12:D13"/>
    <mergeCell ref="K14:L14"/>
    <mergeCell ref="K15:L15"/>
  </mergeCells>
  <dataValidations count="1">
    <dataValidation type="list" allowBlank="1" showInputMessage="1" showErrorMessage="1" sqref="B14:B19">
      <formula1>$AA$1:$AA$8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Character</vt:lpstr>
      <vt:lpstr>Stats</vt:lpstr>
      <vt:lpstr>Skills</vt:lpstr>
      <vt:lpstr>Magic</vt:lpstr>
      <vt:lpstr>Spells</vt:lpstr>
      <vt:lpstr>Inventory</vt:lpstr>
      <vt:lpstr>Equip</vt:lpstr>
      <vt:lpstr>Combat</vt:lpstr>
      <vt:lpstr>Other</vt:lpstr>
      <vt:lpstr>Weapons</vt:lpstr>
      <vt:lpstr>Armors</vt:lpstr>
      <vt:lpstr>Shields</vt:lpstr>
      <vt:lpstr>Ammo</vt:lpstr>
      <vt:lpstr>Perks &amp; Skills</vt:lpstr>
      <vt:lpstr>Additional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</dc:creator>
  <cp:lastModifiedBy>Thr</cp:lastModifiedBy>
  <dcterms:created xsi:type="dcterms:W3CDTF">2010-03-28T23:04:51Z</dcterms:created>
  <dcterms:modified xsi:type="dcterms:W3CDTF">2011-02-12T00:06:32Z</dcterms:modified>
</cp:coreProperties>
</file>